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 showInkAnnotation="0" codeName="ThisWorkbook" autoCompressPictures="0"/>
  <mc:AlternateContent xmlns:mc="http://schemas.openxmlformats.org/markup-compatibility/2006">
    <mc:Choice Requires="x15">
      <x15ac:absPath xmlns:x15ac="http://schemas.microsoft.com/office/spreadsheetml/2010/11/ac" url="X:\Trans\TIP\Adopted TIPs\2025-28 Working Folder\Call for Projects\Final Call and Resource Materials\Web\"/>
    </mc:Choice>
  </mc:AlternateContent>
  <xr:revisionPtr revIDLastSave="0" documentId="8_{A8FBE24E-4120-4860-A57F-B00DC5B645BC}" xr6:coauthVersionLast="47" xr6:coauthVersionMax="47" xr10:uidLastSave="{00000000-0000-0000-0000-000000000000}"/>
  <workbookProtection workbookAlgorithmName="SHA-512" workbookHashValue="GtesZ559gl4bS4obh+DdZKkBJfKsZ85i6trsYhTew3bC6OYF8rVVFJzNkHjlZVzFcPErR2b5Zwrr+qMQxf090Q==" workbookSaltValue="pOy8pX3jgZyEp17XDn/ePA==" workbookSpinCount="100000" lockStructure="1"/>
  <bookViews>
    <workbookView xWindow="-28920" yWindow="-120" windowWidth="29040" windowHeight="15840" tabRatio="865" xr2:uid="{00000000-000D-0000-FFFF-FFFF00000000}"/>
  </bookViews>
  <sheets>
    <sheet name="Overview" sheetId="37" r:id="rId1"/>
    <sheet name="Results Summary" sheetId="29" r:id="rId2"/>
    <sheet name="Transit Service" sheetId="17" r:id="rId3"/>
    <sheet name="Transit Station Amenities" sheetId="2" r:id="rId4"/>
    <sheet name="Ferry Service" sheetId="18" r:id="rId5"/>
    <sheet name="BAT Lanes" sheetId="12" r:id="rId6"/>
    <sheet name="Bike Facilities" sheetId="41" r:id="rId7"/>
    <sheet name="Ped Facilities" sheetId="19" r:id="rId8"/>
    <sheet name="Reduce Intersection Delay" sheetId="40" r:id="rId9"/>
    <sheet name="Increase Corridor Speed" sheetId="32" r:id="rId10"/>
    <sheet name="Outreach Prgms. &amp; Sub. Transit " sheetId="25" r:id="rId11"/>
    <sheet name="Vanpools" sheetId="27" r:id="rId12"/>
    <sheet name="Vehicle Replacement" sheetId="38" r:id="rId13"/>
    <sheet name="MHD ZEVs" sheetId="14" r:id="rId14"/>
    <sheet name="LD ZEVs" sheetId="16" r:id="rId15"/>
    <sheet name="VMT Reduction" sheetId="39" r:id="rId16"/>
    <sheet name="Emission Factors" sheetId="28" r:id="rId17"/>
    <sheet name="Assumptions" sheetId="4" r:id="rId18"/>
    <sheet name="PSRC Assumptions" sheetId="11" state="hidden" r:id="rId19"/>
  </sheets>
  <definedNames>
    <definedName name="_xlnm._FilterDatabase" localSheetId="17" hidden="1">Assumptions!$AE$2:$AE$42</definedName>
    <definedName name="_xlnm._FilterDatabase" localSheetId="16" hidden="1">'Emission Factors'!$I$300:$I$538</definedName>
    <definedName name="_xlnm._FilterDatabase" localSheetId="14" hidden="1">'LD ZEVs'!$J$10:$J$24</definedName>
    <definedName name="_xlnm._FilterDatabase" localSheetId="8" hidden="1">'Reduce Intersection Delay'!$B$26:$C$36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49" i="4" l="1"/>
  <c r="H14" i="18" l="1"/>
  <c r="M78" i="32"/>
  <c r="M77" i="32"/>
  <c r="M76" i="32"/>
  <c r="M75" i="32"/>
  <c r="M74" i="32"/>
  <c r="M73" i="32"/>
  <c r="M72" i="32"/>
  <c r="M71" i="32"/>
  <c r="M70" i="32"/>
  <c r="M69" i="32"/>
  <c r="M68" i="32"/>
  <c r="M67" i="32"/>
  <c r="M66" i="32"/>
  <c r="M65" i="32"/>
  <c r="M64" i="32"/>
  <c r="M63" i="32"/>
  <c r="M62" i="32"/>
  <c r="M61" i="32"/>
  <c r="M60" i="32"/>
  <c r="M59" i="32"/>
  <c r="M58" i="32"/>
  <c r="M57" i="32"/>
  <c r="M56" i="32"/>
  <c r="M55" i="32"/>
  <c r="M54" i="32"/>
  <c r="M53" i="32"/>
  <c r="M52" i="32"/>
  <c r="M51" i="32"/>
  <c r="M50" i="32"/>
  <c r="M49" i="32"/>
  <c r="O48" i="28"/>
  <c r="O47" i="28"/>
  <c r="O46" i="28"/>
  <c r="O45" i="28"/>
  <c r="O44" i="28"/>
  <c r="O43" i="28"/>
  <c r="O42" i="28"/>
  <c r="O41" i="28"/>
  <c r="O40" i="28"/>
  <c r="O39" i="28"/>
  <c r="O38" i="28"/>
  <c r="O37" i="28"/>
  <c r="O36" i="28"/>
  <c r="O35" i="28"/>
  <c r="O34" i="28"/>
  <c r="O33" i="28"/>
  <c r="O32" i="28"/>
  <c r="O31" i="28"/>
  <c r="O30" i="28"/>
  <c r="O29" i="28"/>
  <c r="O28" i="28"/>
  <c r="O27" i="28"/>
  <c r="O26" i="28"/>
  <c r="O25" i="28"/>
  <c r="O24" i="28"/>
  <c r="O23" i="28"/>
  <c r="O22" i="28"/>
  <c r="O21" i="28"/>
  <c r="O20" i="28"/>
  <c r="H32" i="32"/>
  <c r="H33" i="32"/>
  <c r="C26" i="19" l="1"/>
  <c r="H26" i="19" s="1"/>
  <c r="C27" i="41"/>
  <c r="H27" i="41" s="1"/>
  <c r="C26" i="41"/>
  <c r="G20" i="40" l="1"/>
  <c r="E20" i="40" s="1"/>
  <c r="I20" i="40" s="1"/>
  <c r="H19" i="40"/>
  <c r="H20" i="40" l="1"/>
  <c r="E66" i="4" l="1"/>
  <c r="D4" i="4"/>
  <c r="C28" i="19" l="1"/>
  <c r="H28" i="19" s="1"/>
  <c r="H17" i="27"/>
  <c r="C29" i="41"/>
  <c r="H29" i="41" s="1"/>
  <c r="H17" i="40"/>
  <c r="C27" i="2"/>
  <c r="C32" i="32"/>
  <c r="C25" i="19"/>
  <c r="C28" i="12"/>
  <c r="C27" i="12"/>
  <c r="C25" i="12"/>
  <c r="H25" i="12" s="1"/>
  <c r="H13" i="18" l="1"/>
  <c r="C24" i="18"/>
  <c r="H27" i="2"/>
  <c r="C26" i="2"/>
  <c r="H26" i="2" s="1"/>
  <c r="Q28" i="17"/>
  <c r="H26" i="41"/>
  <c r="H16" i="38"/>
  <c r="M28" i="38" s="1"/>
  <c r="H13" i="25"/>
  <c r="H14" i="25"/>
  <c r="O29" i="25"/>
  <c r="P29" i="25"/>
  <c r="Q29" i="25"/>
  <c r="O30" i="25"/>
  <c r="P30" i="25"/>
  <c r="Q30" i="25"/>
  <c r="O31" i="25"/>
  <c r="P31" i="25"/>
  <c r="Q31" i="25"/>
  <c r="O32" i="25"/>
  <c r="P32" i="25"/>
  <c r="Q32" i="25"/>
  <c r="O33" i="25"/>
  <c r="P33" i="25"/>
  <c r="Q33" i="25"/>
  <c r="H13" i="32"/>
  <c r="H14" i="32"/>
  <c r="H15" i="32"/>
  <c r="H17" i="32"/>
  <c r="H18" i="32"/>
  <c r="H20" i="32"/>
  <c r="H22" i="32"/>
  <c r="M46" i="32" l="1"/>
  <c r="M39" i="32"/>
  <c r="O19" i="28"/>
  <c r="O69" i="32"/>
  <c r="O71" i="32"/>
  <c r="M42" i="32"/>
  <c r="O73" i="32"/>
  <c r="O77" i="32"/>
  <c r="M41" i="32"/>
  <c r="O75" i="32"/>
  <c r="M40" i="32"/>
  <c r="M44" i="32"/>
  <c r="C30" i="32"/>
  <c r="M47" i="32"/>
  <c r="M38" i="32"/>
  <c r="M45" i="32"/>
  <c r="M48" i="32"/>
  <c r="Q75" i="32"/>
  <c r="P73" i="32"/>
  <c r="P71" i="32"/>
  <c r="Q73" i="32"/>
  <c r="Q69" i="32"/>
  <c r="C25" i="2"/>
  <c r="H25" i="2" s="1"/>
  <c r="P77" i="32" l="1"/>
  <c r="Q71" i="32"/>
  <c r="Q77" i="32"/>
  <c r="P69" i="32"/>
  <c r="P75" i="32"/>
  <c r="Q70" i="32"/>
  <c r="O70" i="32"/>
  <c r="P70" i="32"/>
  <c r="O72" i="32"/>
  <c r="Q72" i="32"/>
  <c r="P72" i="32"/>
  <c r="P74" i="32"/>
  <c r="O74" i="32"/>
  <c r="Q74" i="32"/>
  <c r="O76" i="32"/>
  <c r="P76" i="32"/>
  <c r="Q76" i="32"/>
  <c r="Q78" i="32"/>
  <c r="O78" i="32"/>
  <c r="P78" i="32"/>
  <c r="H30" i="32"/>
  <c r="D51" i="4"/>
  <c r="D50" i="4"/>
  <c r="C28" i="41" s="1"/>
  <c r="E51" i="4"/>
  <c r="E50" i="4"/>
  <c r="C23" i="38"/>
  <c r="GY295" i="28"/>
  <c r="GY294" i="28"/>
  <c r="GY293" i="28"/>
  <c r="GY292" i="28"/>
  <c r="GY291" i="28"/>
  <c r="HD259" i="28"/>
  <c r="HC259" i="28"/>
  <c r="HB259" i="28"/>
  <c r="HA259" i="28"/>
  <c r="GZ259" i="28"/>
  <c r="GY259" i="28"/>
  <c r="GX259" i="28"/>
  <c r="GW259" i="28"/>
  <c r="GV259" i="28"/>
  <c r="GU259" i="28"/>
  <c r="GT259" i="28"/>
  <c r="GS259" i="28"/>
  <c r="GR259" i="28"/>
  <c r="GQ259" i="28"/>
  <c r="GP259" i="28"/>
  <c r="GO259" i="28"/>
  <c r="GN259" i="28"/>
  <c r="GM259" i="28"/>
  <c r="GL259" i="28"/>
  <c r="GK259" i="28"/>
  <c r="GJ259" i="28"/>
  <c r="GI259" i="28"/>
  <c r="GH259" i="28"/>
  <c r="GG259" i="28"/>
  <c r="GF259" i="28"/>
  <c r="GE259" i="28"/>
  <c r="GD259" i="28"/>
  <c r="GC259" i="28"/>
  <c r="GB259" i="28"/>
  <c r="GA259" i="28"/>
  <c r="FZ259" i="28"/>
  <c r="FY259" i="28"/>
  <c r="FX259" i="28"/>
  <c r="FW259" i="28"/>
  <c r="FV259" i="28"/>
  <c r="FU259" i="28"/>
  <c r="FT259" i="28"/>
  <c r="FS259" i="28"/>
  <c r="FR259" i="28"/>
  <c r="FQ259" i="28"/>
  <c r="FP259" i="28"/>
  <c r="FO259" i="28"/>
  <c r="FN259" i="28"/>
  <c r="FM259" i="28"/>
  <c r="FL259" i="28"/>
  <c r="FK259" i="28"/>
  <c r="FJ259" i="28"/>
  <c r="FI259" i="28"/>
  <c r="FH259" i="28"/>
  <c r="FG259" i="28"/>
  <c r="FF259" i="28"/>
  <c r="FE259" i="28"/>
  <c r="FD259" i="28"/>
  <c r="FC259" i="28"/>
  <c r="FB259" i="28"/>
  <c r="FA259" i="28"/>
  <c r="EZ259" i="28"/>
  <c r="EY259" i="28"/>
  <c r="EX259" i="28"/>
  <c r="EW259" i="28"/>
  <c r="EV259" i="28"/>
  <c r="EU259" i="28"/>
  <c r="ET259" i="28"/>
  <c r="ES259" i="28"/>
  <c r="ER259" i="28"/>
  <c r="EQ259" i="28"/>
  <c r="EP259" i="28"/>
  <c r="EO259" i="28"/>
  <c r="EN259" i="28"/>
  <c r="EM259" i="28"/>
  <c r="EL259" i="28"/>
  <c r="EK259" i="28"/>
  <c r="EJ259" i="28"/>
  <c r="EI259" i="28"/>
  <c r="EH259" i="28"/>
  <c r="EG259" i="28"/>
  <c r="EF259" i="28"/>
  <c r="EE259" i="28"/>
  <c r="ED259" i="28"/>
  <c r="EC259" i="28"/>
  <c r="EB259" i="28"/>
  <c r="EA259" i="28"/>
  <c r="DZ259" i="28"/>
  <c r="DY259" i="28"/>
  <c r="DX259" i="28"/>
  <c r="DW259" i="28"/>
  <c r="DV259" i="28"/>
  <c r="DU259" i="28"/>
  <c r="DT259" i="28"/>
  <c r="DS259" i="28"/>
  <c r="DR259" i="28"/>
  <c r="DQ259" i="28"/>
  <c r="DP259" i="28"/>
  <c r="DO259" i="28"/>
  <c r="DN259" i="28"/>
  <c r="DM259" i="28"/>
  <c r="DL259" i="28"/>
  <c r="DK259" i="28"/>
  <c r="DJ259" i="28"/>
  <c r="DI259" i="28"/>
  <c r="DH259" i="28"/>
  <c r="DG259" i="28"/>
  <c r="DF259" i="28"/>
  <c r="DE259" i="28"/>
  <c r="DD259" i="28"/>
  <c r="DC259" i="28"/>
  <c r="DB259" i="28"/>
  <c r="DA259" i="28"/>
  <c r="CZ259" i="28"/>
  <c r="CY259" i="28"/>
  <c r="CN259" i="28"/>
  <c r="CM259" i="28"/>
  <c r="CL259" i="28"/>
  <c r="CK259" i="28"/>
  <c r="CJ259" i="28"/>
  <c r="CI259" i="28"/>
  <c r="CH259" i="28"/>
  <c r="CG259" i="28"/>
  <c r="CF259" i="28"/>
  <c r="CE259" i="28"/>
  <c r="CD259" i="28"/>
  <c r="CC259" i="28"/>
  <c r="CB259" i="28"/>
  <c r="CA259" i="28"/>
  <c r="BZ259" i="28"/>
  <c r="BY259" i="28"/>
  <c r="BX259" i="28"/>
  <c r="BW259" i="28"/>
  <c r="BV259" i="28"/>
  <c r="BU259" i="28"/>
  <c r="BT259" i="28"/>
  <c r="BS259" i="28"/>
  <c r="BR259" i="28"/>
  <c r="BQ259" i="28"/>
  <c r="BP259" i="28"/>
  <c r="BO259" i="28"/>
  <c r="BN259" i="28"/>
  <c r="BM259" i="28"/>
  <c r="BL259" i="28"/>
  <c r="BK259" i="28"/>
  <c r="BJ259" i="28"/>
  <c r="BI259" i="28"/>
  <c r="BH259" i="28"/>
  <c r="BG259" i="28"/>
  <c r="BF259" i="28"/>
  <c r="BE259" i="28"/>
  <c r="BD259" i="28"/>
  <c r="BC259" i="28"/>
  <c r="BB259" i="28"/>
  <c r="BA259" i="28"/>
  <c r="AZ259" i="28"/>
  <c r="AY259" i="28"/>
  <c r="AX259" i="28"/>
  <c r="AW259" i="28"/>
  <c r="AV259" i="28"/>
  <c r="AU259" i="28"/>
  <c r="AT259" i="28"/>
  <c r="AS259" i="28"/>
  <c r="AR259" i="28"/>
  <c r="AQ259" i="28"/>
  <c r="AP259" i="28"/>
  <c r="AO259" i="28"/>
  <c r="AN259" i="28"/>
  <c r="AM259" i="28"/>
  <c r="AL259" i="28"/>
  <c r="AK259" i="28"/>
  <c r="AJ259" i="28"/>
  <c r="AI259" i="28"/>
  <c r="AH259" i="28"/>
  <c r="AG259" i="28"/>
  <c r="AF259" i="28"/>
  <c r="AE259" i="28"/>
  <c r="AD259" i="28"/>
  <c r="AC259" i="28"/>
  <c r="AB259" i="28"/>
  <c r="AA259" i="28"/>
  <c r="Z259" i="28"/>
  <c r="Y259" i="28"/>
  <c r="X259" i="28"/>
  <c r="W259" i="28"/>
  <c r="V259" i="28"/>
  <c r="U259" i="28"/>
  <c r="T259" i="28"/>
  <c r="S259" i="28"/>
  <c r="R259" i="28"/>
  <c r="Q259" i="28"/>
  <c r="P259" i="28"/>
  <c r="O259" i="28"/>
  <c r="N259" i="28"/>
  <c r="M259" i="28"/>
  <c r="L259" i="28"/>
  <c r="K259" i="28"/>
  <c r="J259" i="28"/>
  <c r="I259" i="28"/>
  <c r="H259" i="28"/>
  <c r="G259" i="28"/>
  <c r="F259" i="28"/>
  <c r="E259" i="28"/>
  <c r="D259" i="28"/>
  <c r="C259" i="28"/>
  <c r="Q32" i="17"/>
  <c r="Q31" i="17"/>
  <c r="Q30" i="17"/>
  <c r="Q29" i="17"/>
  <c r="Q35" i="2"/>
  <c r="Q39" i="2"/>
  <c r="Q38" i="2"/>
  <c r="Q37" i="2"/>
  <c r="Q36" i="2"/>
  <c r="Q36" i="18"/>
  <c r="Q37" i="18"/>
  <c r="Q38" i="18"/>
  <c r="Q39" i="18"/>
  <c r="Q35" i="18"/>
  <c r="Q31" i="18"/>
  <c r="Q32" i="18"/>
  <c r="Q33" i="18"/>
  <c r="Q34" i="18"/>
  <c r="Q30" i="18"/>
  <c r="P30" i="18"/>
  <c r="C30" i="18" s="1"/>
  <c r="H30" i="18" s="1"/>
  <c r="Q40" i="12"/>
  <c r="Q39" i="12"/>
  <c r="Q38" i="12"/>
  <c r="Q37" i="12"/>
  <c r="Q36" i="12"/>
  <c r="Q43" i="41"/>
  <c r="Q42" i="41"/>
  <c r="Q41" i="41"/>
  <c r="Q40" i="41"/>
  <c r="Q39" i="41"/>
  <c r="Q38" i="19"/>
  <c r="Q42" i="19"/>
  <c r="Q41" i="19"/>
  <c r="Q40" i="19"/>
  <c r="Q39" i="19"/>
  <c r="P59" i="40"/>
  <c r="P60" i="40"/>
  <c r="P61" i="40"/>
  <c r="P62" i="40"/>
  <c r="P58" i="40"/>
  <c r="O62" i="40"/>
  <c r="O58" i="40"/>
  <c r="C30" i="25"/>
  <c r="H30" i="25" s="1"/>
  <c r="C29" i="25"/>
  <c r="H29" i="25" s="1"/>
  <c r="V34" i="39"/>
  <c r="V35" i="39"/>
  <c r="V36" i="39"/>
  <c r="V37" i="39"/>
  <c r="V33" i="39"/>
  <c r="U33" i="39"/>
  <c r="C31" i="25"/>
  <c r="H31" i="25" s="1"/>
  <c r="C32" i="25"/>
  <c r="H32" i="25" s="1"/>
  <c r="C33" i="25"/>
  <c r="H33" i="25" s="1"/>
  <c r="Q32" i="27"/>
  <c r="Q33" i="27"/>
  <c r="Q34" i="27"/>
  <c r="Q35" i="27"/>
  <c r="Q36" i="27"/>
  <c r="Q37" i="27"/>
  <c r="Q38" i="27"/>
  <c r="Q39" i="27"/>
  <c r="Q40" i="27"/>
  <c r="Q31" i="27"/>
  <c r="P31" i="27"/>
  <c r="O33" i="27"/>
  <c r="AI39" i="28"/>
  <c r="AI40" i="28"/>
  <c r="AI41" i="28"/>
  <c r="AI42" i="28"/>
  <c r="AI43" i="28"/>
  <c r="AI44" i="28"/>
  <c r="AI45" i="28"/>
  <c r="AI46" i="28"/>
  <c r="AI47" i="28"/>
  <c r="AI48" i="28"/>
  <c r="AI30" i="28"/>
  <c r="AI31" i="28"/>
  <c r="AI32" i="28"/>
  <c r="AI33" i="28"/>
  <c r="AI34" i="28"/>
  <c r="AI35" i="28"/>
  <c r="AI36" i="28"/>
  <c r="AI37" i="28"/>
  <c r="AI38" i="28"/>
  <c r="AI29" i="28"/>
  <c r="AH31" i="28"/>
  <c r="Z25" i="28"/>
  <c r="Z26" i="28"/>
  <c r="Z27" i="28"/>
  <c r="Z28" i="28"/>
  <c r="Z29" i="28"/>
  <c r="Z30" i="28"/>
  <c r="Z31" i="28"/>
  <c r="Z32" i="28"/>
  <c r="Z33" i="28"/>
  <c r="Z24" i="28"/>
  <c r="Y24" i="28"/>
  <c r="E99" i="4" l="1"/>
  <c r="D99" i="4"/>
  <c r="G19" i="32" s="1"/>
  <c r="E21" i="32"/>
  <c r="P35" i="27"/>
  <c r="O35" i="27"/>
  <c r="P34" i="27"/>
  <c r="O34" i="27"/>
  <c r="P33" i="27"/>
  <c r="P32" i="27"/>
  <c r="O32" i="27"/>
  <c r="O31" i="27"/>
  <c r="H15" i="18"/>
  <c r="P34" i="18"/>
  <c r="O34" i="18"/>
  <c r="P33" i="18"/>
  <c r="O33" i="18"/>
  <c r="P32" i="18"/>
  <c r="O32" i="18"/>
  <c r="P31" i="18"/>
  <c r="O31" i="18"/>
  <c r="O30" i="18"/>
  <c r="I16" i="18"/>
  <c r="G16" i="18"/>
  <c r="E16" i="18"/>
  <c r="H16" i="18" s="1"/>
  <c r="G24" i="14"/>
  <c r="C24" i="14" s="1"/>
  <c r="H24" i="14" s="1"/>
  <c r="H18" i="14"/>
  <c r="H17" i="14"/>
  <c r="H16" i="14"/>
  <c r="P28" i="14" s="1"/>
  <c r="H15" i="14"/>
  <c r="N29" i="14" s="1"/>
  <c r="H14" i="14"/>
  <c r="L28" i="14" s="1"/>
  <c r="H13" i="14"/>
  <c r="P43" i="41"/>
  <c r="O43" i="41"/>
  <c r="P42" i="41"/>
  <c r="O42" i="41"/>
  <c r="P41" i="41"/>
  <c r="O41" i="41"/>
  <c r="P40" i="41"/>
  <c r="O40" i="41"/>
  <c r="P39" i="41"/>
  <c r="O39" i="41"/>
  <c r="C24" i="41"/>
  <c r="H24" i="41" s="1"/>
  <c r="H15" i="41"/>
  <c r="H14" i="41"/>
  <c r="H13" i="41"/>
  <c r="H21" i="32" l="1"/>
  <c r="I21" i="32"/>
  <c r="J33" i="14"/>
  <c r="J32" i="14"/>
  <c r="J30" i="14"/>
  <c r="J31" i="14"/>
  <c r="J29" i="14"/>
  <c r="L29" i="14" s="1"/>
  <c r="C43" i="41"/>
  <c r="H43" i="41" s="1"/>
  <c r="C39" i="41"/>
  <c r="H39" i="41" s="1"/>
  <c r="C40" i="41"/>
  <c r="H40" i="41" s="1"/>
  <c r="C41" i="41"/>
  <c r="H41" i="41" s="1"/>
  <c r="C42" i="41"/>
  <c r="H42" i="41" s="1"/>
  <c r="B31" i="14"/>
  <c r="B35" i="14"/>
  <c r="B30" i="14"/>
  <c r="B38" i="14"/>
  <c r="N33" i="14"/>
  <c r="P33" i="14" s="1"/>
  <c r="B36" i="14"/>
  <c r="N31" i="14"/>
  <c r="P31" i="14" s="1"/>
  <c r="B34" i="14"/>
  <c r="N30" i="14"/>
  <c r="P30" i="14" s="1"/>
  <c r="B33" i="14"/>
  <c r="B37" i="14"/>
  <c r="N32" i="14"/>
  <c r="P32" i="14" s="1"/>
  <c r="B39" i="14"/>
  <c r="P29" i="14"/>
  <c r="C35" i="14" s="1"/>
  <c r="B32" i="14"/>
  <c r="O38" i="19"/>
  <c r="H14" i="17"/>
  <c r="N59" i="40" l="1"/>
  <c r="O59" i="40"/>
  <c r="N60" i="40"/>
  <c r="O60" i="40"/>
  <c r="N61" i="40"/>
  <c r="O61" i="40"/>
  <c r="N62" i="40"/>
  <c r="N58" i="40"/>
  <c r="E98" i="4" l="1"/>
  <c r="D98" i="4"/>
  <c r="C29" i="32" s="1"/>
  <c r="H29" i="32" s="1"/>
  <c r="E97" i="4"/>
  <c r="D97" i="4"/>
  <c r="C28" i="32" s="1"/>
  <c r="H28" i="32" s="1"/>
  <c r="D63" i="4"/>
  <c r="C29" i="40" s="1"/>
  <c r="D62" i="4"/>
  <c r="C28" i="40" s="1"/>
  <c r="H28" i="40" s="1"/>
  <c r="G16" i="32" l="1"/>
  <c r="D66" i="4"/>
  <c r="C30" i="40" s="1"/>
  <c r="D65" i="4"/>
  <c r="C27" i="40" s="1"/>
  <c r="E21" i="40"/>
  <c r="I21" i="40" s="1"/>
  <c r="H21" i="40" l="1"/>
  <c r="D92" i="4"/>
  <c r="D90" i="4"/>
  <c r="E67" i="4"/>
  <c r="D69" i="4"/>
  <c r="D70" i="4"/>
  <c r="D71" i="4"/>
  <c r="D72" i="4"/>
  <c r="D73" i="4"/>
  <c r="D74" i="4"/>
  <c r="D75" i="4"/>
  <c r="D76" i="4"/>
  <c r="D77" i="4"/>
  <c r="D78" i="4"/>
  <c r="D79" i="4"/>
  <c r="D68" i="4"/>
  <c r="E63" i="4"/>
  <c r="H29" i="40"/>
  <c r="H30" i="40"/>
  <c r="H27" i="40"/>
  <c r="H16" i="40"/>
  <c r="H15" i="40"/>
  <c r="H14" i="40"/>
  <c r="C32" i="40" s="1"/>
  <c r="H13" i="40"/>
  <c r="C31" i="40" l="1"/>
  <c r="H32" i="40"/>
  <c r="C37" i="40"/>
  <c r="D115" i="4" l="1"/>
  <c r="G15" i="25" s="1"/>
  <c r="H15" i="39" l="1"/>
  <c r="E121" i="4"/>
  <c r="D121" i="4"/>
  <c r="C121" i="4"/>
  <c r="H14" i="39" l="1"/>
  <c r="H13" i="39"/>
  <c r="E15" i="25"/>
  <c r="G19" i="2"/>
  <c r="E19" i="2" s="1"/>
  <c r="G15" i="17"/>
  <c r="E15" i="17" l="1"/>
  <c r="I15" i="17" s="1"/>
  <c r="H15" i="25"/>
  <c r="I15" i="25"/>
  <c r="U34" i="39"/>
  <c r="U35" i="39"/>
  <c r="U37" i="39"/>
  <c r="H19" i="2"/>
  <c r="I19" i="2"/>
  <c r="H15" i="17" l="1"/>
  <c r="T34" i="39"/>
  <c r="T37" i="39"/>
  <c r="T35" i="39"/>
  <c r="T33" i="39"/>
  <c r="T36" i="39"/>
  <c r="U36" i="39"/>
  <c r="H17" i="38"/>
  <c r="H15" i="38"/>
  <c r="L28" i="38" s="1"/>
  <c r="H14" i="38"/>
  <c r="H13" i="38"/>
  <c r="J32" i="38" l="1"/>
  <c r="J31" i="38"/>
  <c r="J30" i="38"/>
  <c r="J33" i="38"/>
  <c r="M33" i="38" s="1"/>
  <c r="C39" i="38" s="1"/>
  <c r="H39" i="38" s="1"/>
  <c r="J29" i="38"/>
  <c r="L29" i="38" s="1"/>
  <c r="B35" i="38"/>
  <c r="B39" i="38"/>
  <c r="B30" i="38"/>
  <c r="B32" i="38"/>
  <c r="B34" i="38"/>
  <c r="B38" i="38"/>
  <c r="B37" i="38"/>
  <c r="B31" i="38"/>
  <c r="B33" i="38"/>
  <c r="B36" i="38"/>
  <c r="AG47" i="28"/>
  <c r="AG43" i="28"/>
  <c r="AG39" i="28"/>
  <c r="AH35" i="28"/>
  <c r="E61" i="4"/>
  <c r="E33" i="4"/>
  <c r="H15" i="12"/>
  <c r="C26" i="12" s="1"/>
  <c r="H26" i="12" s="1"/>
  <c r="E62" i="4"/>
  <c r="D120" i="4"/>
  <c r="C120" i="4"/>
  <c r="B120" i="4"/>
  <c r="E120" i="4" s="1"/>
  <c r="C23" i="19"/>
  <c r="H23" i="19" s="1"/>
  <c r="H14" i="2"/>
  <c r="H15" i="2"/>
  <c r="H16" i="2"/>
  <c r="D111" i="4"/>
  <c r="P35" i="18"/>
  <c r="O35" i="18"/>
  <c r="AG35" i="28"/>
  <c r="AH36" i="28"/>
  <c r="AH40" i="28"/>
  <c r="AH44" i="28"/>
  <c r="AG44" i="28"/>
  <c r="AG40" i="28"/>
  <c r="AH32" i="28"/>
  <c r="AG32" i="28"/>
  <c r="AH48" i="28"/>
  <c r="AG48" i="28"/>
  <c r="AG36" i="28"/>
  <c r="AG42" i="28"/>
  <c r="AH42" i="28"/>
  <c r="AG29" i="28"/>
  <c r="AH29" i="28"/>
  <c r="AH45" i="28"/>
  <c r="AG45" i="28"/>
  <c r="AH38" i="28"/>
  <c r="AG38" i="28"/>
  <c r="AH33" i="28"/>
  <c r="AG33" i="28"/>
  <c r="AH34" i="28"/>
  <c r="AG34" i="28"/>
  <c r="AH39" i="28"/>
  <c r="AH37" i="28"/>
  <c r="AG37" i="28"/>
  <c r="AG46" i="28"/>
  <c r="AH46" i="28"/>
  <c r="AG30" i="28"/>
  <c r="AH30" i="28"/>
  <c r="AG31" i="28"/>
  <c r="AH41" i="28"/>
  <c r="AG41" i="28"/>
  <c r="H14" i="19"/>
  <c r="G24" i="16"/>
  <c r="C24" i="16" s="1"/>
  <c r="H24" i="16" s="1"/>
  <c r="E114" i="4"/>
  <c r="E113" i="4"/>
  <c r="E112" i="4"/>
  <c r="E111" i="4"/>
  <c r="E32" i="4"/>
  <c r="E56" i="4"/>
  <c r="E54" i="4"/>
  <c r="E53" i="4"/>
  <c r="E52" i="4"/>
  <c r="E44" i="4"/>
  <c r="E43" i="4"/>
  <c r="E42" i="4"/>
  <c r="E16" i="4"/>
  <c r="E15" i="4"/>
  <c r="E11" i="4"/>
  <c r="E9" i="4"/>
  <c r="G18" i="18"/>
  <c r="E18" i="18" s="1"/>
  <c r="H18" i="18" s="1"/>
  <c r="C24" i="27"/>
  <c r="C25" i="27" s="1"/>
  <c r="H25" i="27" s="1"/>
  <c r="D112" i="4"/>
  <c r="C23" i="25"/>
  <c r="H23" i="25" s="1"/>
  <c r="D42" i="4"/>
  <c r="G16" i="41" s="1"/>
  <c r="E16" i="41" s="1"/>
  <c r="D43" i="4"/>
  <c r="G15" i="19" s="1"/>
  <c r="E15" i="19" s="1"/>
  <c r="H15" i="19" s="1"/>
  <c r="D44" i="4"/>
  <c r="D52" i="4"/>
  <c r="D53" i="4"/>
  <c r="G16" i="19" s="1"/>
  <c r="D54" i="4"/>
  <c r="G17" i="41" s="1"/>
  <c r="E17" i="41" s="1"/>
  <c r="H17" i="41" s="1"/>
  <c r="D56" i="4"/>
  <c r="N15" i="28"/>
  <c r="N14" i="28"/>
  <c r="Y33" i="28"/>
  <c r="X33" i="28"/>
  <c r="Y32" i="28"/>
  <c r="X32" i="28"/>
  <c r="Y31" i="28"/>
  <c r="X31" i="28"/>
  <c r="Y30" i="28"/>
  <c r="X30" i="28"/>
  <c r="Y29" i="28"/>
  <c r="X29" i="28"/>
  <c r="Y28" i="28"/>
  <c r="X28" i="28"/>
  <c r="Y27" i="28"/>
  <c r="X27" i="28"/>
  <c r="Y26" i="28"/>
  <c r="X26" i="28"/>
  <c r="Y25" i="28"/>
  <c r="X25" i="28"/>
  <c r="X24" i="28"/>
  <c r="H13" i="16"/>
  <c r="J29" i="16" s="1"/>
  <c r="H14" i="16"/>
  <c r="H15" i="16"/>
  <c r="H16" i="16"/>
  <c r="P28" i="16" s="1"/>
  <c r="H17" i="16"/>
  <c r="H18" i="16"/>
  <c r="G16" i="27"/>
  <c r="E16" i="27" s="1"/>
  <c r="D32" i="4"/>
  <c r="O37" i="27"/>
  <c r="P37" i="27"/>
  <c r="O38" i="27"/>
  <c r="P38" i="27"/>
  <c r="O39" i="27"/>
  <c r="P39" i="27"/>
  <c r="O40" i="27"/>
  <c r="P40" i="27"/>
  <c r="P36" i="27"/>
  <c r="O36" i="27"/>
  <c r="O37" i="12"/>
  <c r="P37" i="12"/>
  <c r="O38" i="12"/>
  <c r="P38" i="12"/>
  <c r="O39" i="12"/>
  <c r="P39" i="12"/>
  <c r="O40" i="12"/>
  <c r="P40" i="12"/>
  <c r="P36" i="12"/>
  <c r="O36" i="12"/>
  <c r="P42" i="19"/>
  <c r="O42" i="19"/>
  <c r="P41" i="19"/>
  <c r="O41" i="19"/>
  <c r="P40" i="19"/>
  <c r="O40" i="19"/>
  <c r="P39" i="19"/>
  <c r="O39" i="19"/>
  <c r="P38" i="19"/>
  <c r="P39" i="18"/>
  <c r="O39" i="18"/>
  <c r="P38" i="18"/>
  <c r="O38" i="18"/>
  <c r="P37" i="18"/>
  <c r="O37" i="18"/>
  <c r="P36" i="18"/>
  <c r="O36" i="18"/>
  <c r="P36" i="2"/>
  <c r="P37" i="2"/>
  <c r="P38" i="2"/>
  <c r="P39" i="2"/>
  <c r="P35" i="2"/>
  <c r="O36" i="2"/>
  <c r="O37" i="2"/>
  <c r="O38" i="2"/>
  <c r="O39" i="2"/>
  <c r="O35" i="2"/>
  <c r="O28" i="17"/>
  <c r="P29" i="17"/>
  <c r="P30" i="17"/>
  <c r="P31" i="17"/>
  <c r="P32" i="17"/>
  <c r="P28" i="17"/>
  <c r="O29" i="17"/>
  <c r="O30" i="17"/>
  <c r="O31" i="17"/>
  <c r="O32" i="17"/>
  <c r="D113" i="4"/>
  <c r="H15" i="27"/>
  <c r="H14" i="27"/>
  <c r="H13" i="27"/>
  <c r="C31" i="27" s="1"/>
  <c r="D61" i="4"/>
  <c r="G18" i="40" s="1"/>
  <c r="H13" i="19"/>
  <c r="H24" i="18"/>
  <c r="H17" i="18"/>
  <c r="D11" i="4"/>
  <c r="C21" i="17" s="1"/>
  <c r="H21" i="17" s="1"/>
  <c r="C22" i="17" s="1"/>
  <c r="H22" i="17" s="1"/>
  <c r="D9" i="4"/>
  <c r="G16" i="17" s="1"/>
  <c r="E16" i="17" s="1"/>
  <c r="H16" i="17" s="1"/>
  <c r="D15" i="4"/>
  <c r="G20" i="2" s="1"/>
  <c r="E20" i="2" s="1"/>
  <c r="H13" i="17"/>
  <c r="D16" i="4"/>
  <c r="H27" i="12"/>
  <c r="H14" i="12"/>
  <c r="H28" i="12"/>
  <c r="H13" i="12"/>
  <c r="C36" i="12" s="1"/>
  <c r="H13" i="2"/>
  <c r="D19" i="4"/>
  <c r="C30" i="41" l="1"/>
  <c r="H30" i="41" s="1"/>
  <c r="C29" i="19"/>
  <c r="H29" i="19" s="1"/>
  <c r="G16" i="12"/>
  <c r="E16" i="12" s="1"/>
  <c r="G17" i="2"/>
  <c r="E17" i="2" s="1"/>
  <c r="H17" i="2" s="1"/>
  <c r="E18" i="2" s="1"/>
  <c r="H18" i="2" s="1"/>
  <c r="C23" i="27"/>
  <c r="C22" i="25"/>
  <c r="G16" i="25"/>
  <c r="E16" i="25" s="1"/>
  <c r="C29" i="12"/>
  <c r="H29" i="12" s="1"/>
  <c r="C28" i="2"/>
  <c r="H28" i="2" s="1"/>
  <c r="G19" i="12"/>
  <c r="E19" i="12" s="1"/>
  <c r="E18" i="40"/>
  <c r="I18" i="40" s="1"/>
  <c r="I16" i="41"/>
  <c r="H16" i="41"/>
  <c r="R48" i="28"/>
  <c r="S48" i="28"/>
  <c r="C42" i="19"/>
  <c r="H42" i="19" s="1"/>
  <c r="C39" i="19"/>
  <c r="H39" i="19" s="1"/>
  <c r="C41" i="19"/>
  <c r="H41" i="19" s="1"/>
  <c r="C38" i="19"/>
  <c r="H38" i="19" s="1"/>
  <c r="C40" i="19"/>
  <c r="H40" i="19" s="1"/>
  <c r="C32" i="17"/>
  <c r="H32" i="17" s="1"/>
  <c r="C29" i="17"/>
  <c r="H29" i="17" s="1"/>
  <c r="C30" i="17"/>
  <c r="H30" i="17" s="1"/>
  <c r="C31" i="17"/>
  <c r="H31" i="17" s="1"/>
  <c r="C28" i="17"/>
  <c r="H28" i="17" s="1"/>
  <c r="M29" i="38"/>
  <c r="L33" i="38"/>
  <c r="L30" i="38"/>
  <c r="M30" i="38"/>
  <c r="L31" i="38"/>
  <c r="M31" i="38"/>
  <c r="L32" i="38"/>
  <c r="M32" i="38"/>
  <c r="C36" i="2"/>
  <c r="H36" i="2" s="1"/>
  <c r="C37" i="2"/>
  <c r="H37" i="2" s="1"/>
  <c r="C38" i="2"/>
  <c r="C39" i="2"/>
  <c r="H39" i="2" s="1"/>
  <c r="C35" i="2"/>
  <c r="H35" i="2" s="1"/>
  <c r="C39" i="18"/>
  <c r="H39" i="18" s="1"/>
  <c r="C31" i="18"/>
  <c r="H31" i="18" s="1"/>
  <c r="C38" i="18"/>
  <c r="C34" i="18"/>
  <c r="H34" i="18" s="1"/>
  <c r="C37" i="18"/>
  <c r="C33" i="18"/>
  <c r="H33" i="18" s="1"/>
  <c r="C32" i="18"/>
  <c r="H32" i="18" s="1"/>
  <c r="C36" i="18"/>
  <c r="H36" i="18" s="1"/>
  <c r="C35" i="18"/>
  <c r="C37" i="12"/>
  <c r="H37" i="12" s="1"/>
  <c r="C38" i="12"/>
  <c r="H38" i="12" s="1"/>
  <c r="C39" i="12"/>
  <c r="H39" i="12" s="1"/>
  <c r="C40" i="12"/>
  <c r="H40" i="12" s="1"/>
  <c r="H36" i="12"/>
  <c r="C32" i="27"/>
  <c r="H32" i="27" s="1"/>
  <c r="C40" i="27"/>
  <c r="H40" i="27" s="1"/>
  <c r="C33" i="27"/>
  <c r="H33" i="27" s="1"/>
  <c r="H31" i="27"/>
  <c r="C38" i="27"/>
  <c r="H38" i="27" s="1"/>
  <c r="C34" i="27"/>
  <c r="H34" i="27" s="1"/>
  <c r="C35" i="27"/>
  <c r="H35" i="27" s="1"/>
  <c r="C36" i="27"/>
  <c r="H36" i="27" s="1"/>
  <c r="C37" i="27"/>
  <c r="H37" i="27" s="1"/>
  <c r="C39" i="27"/>
  <c r="H39" i="27" s="1"/>
  <c r="C38" i="14"/>
  <c r="H38" i="14" s="1"/>
  <c r="C36" i="14"/>
  <c r="H36" i="14" s="1"/>
  <c r="H35" i="14"/>
  <c r="C37" i="14"/>
  <c r="H37" i="14" s="1"/>
  <c r="C39" i="14"/>
  <c r="H39" i="14" s="1"/>
  <c r="J32" i="16"/>
  <c r="H24" i="27"/>
  <c r="I15" i="19"/>
  <c r="C22" i="19"/>
  <c r="H22" i="19" s="1"/>
  <c r="C23" i="41"/>
  <c r="H23" i="41" s="1"/>
  <c r="C24" i="19"/>
  <c r="H24" i="19" s="1"/>
  <c r="C25" i="41"/>
  <c r="H25" i="41" s="1"/>
  <c r="I17" i="41"/>
  <c r="C27" i="19"/>
  <c r="H27" i="19" s="1"/>
  <c r="H28" i="41"/>
  <c r="H25" i="19"/>
  <c r="E19" i="32"/>
  <c r="S35" i="28"/>
  <c r="O15" i="28"/>
  <c r="H37" i="18"/>
  <c r="N33" i="16"/>
  <c r="N29" i="16"/>
  <c r="P29" i="16" s="1"/>
  <c r="N32" i="16"/>
  <c r="N31" i="16"/>
  <c r="N30" i="16"/>
  <c r="P30" i="16" s="1"/>
  <c r="E16" i="19"/>
  <c r="H16" i="19" s="1"/>
  <c r="O14" i="28"/>
  <c r="H35" i="18"/>
  <c r="Q48" i="28"/>
  <c r="B37" i="16"/>
  <c r="B36" i="16"/>
  <c r="B39" i="16"/>
  <c r="B35" i="16"/>
  <c r="B38" i="16"/>
  <c r="J30" i="16"/>
  <c r="L30" i="16" s="1"/>
  <c r="B30" i="16"/>
  <c r="B34" i="16"/>
  <c r="B32" i="16"/>
  <c r="L28" i="16"/>
  <c r="L29" i="16" s="1"/>
  <c r="C30" i="16" s="1"/>
  <c r="B33" i="16"/>
  <c r="B31" i="16"/>
  <c r="J33" i="16"/>
  <c r="L33" i="16" s="1"/>
  <c r="J31" i="16"/>
  <c r="L31" i="16" s="1"/>
  <c r="H20" i="2"/>
  <c r="I20" i="2"/>
  <c r="G18" i="39"/>
  <c r="E18" i="39" s="1"/>
  <c r="G17" i="39"/>
  <c r="E17" i="39" s="1"/>
  <c r="G16" i="39"/>
  <c r="E16" i="39" s="1"/>
  <c r="I16" i="17"/>
  <c r="C37" i="17" s="1"/>
  <c r="H37" i="17" s="1"/>
  <c r="H38" i="2"/>
  <c r="I18" i="18"/>
  <c r="Q36" i="28"/>
  <c r="H38" i="18"/>
  <c r="AH47" i="28"/>
  <c r="AH43" i="28"/>
  <c r="E16" i="32"/>
  <c r="I16" i="27"/>
  <c r="H16" i="27"/>
  <c r="H23" i="27"/>
  <c r="H22" i="25"/>
  <c r="C31" i="19" l="1"/>
  <c r="C30" i="19"/>
  <c r="C31" i="41"/>
  <c r="C32" i="41"/>
  <c r="H32" i="41" s="1"/>
  <c r="C45" i="27"/>
  <c r="C13" i="29" s="1"/>
  <c r="I16" i="12"/>
  <c r="H16" i="12"/>
  <c r="G17" i="12" s="1"/>
  <c r="E17" i="12" s="1"/>
  <c r="H17" i="12" s="1"/>
  <c r="G18" i="12" s="1"/>
  <c r="E18" i="12" s="1"/>
  <c r="H18" i="12" s="1"/>
  <c r="C30" i="12" s="1"/>
  <c r="L32" i="16"/>
  <c r="C33" i="16" s="1"/>
  <c r="H33" i="16" s="1"/>
  <c r="H18" i="40"/>
  <c r="H19" i="12"/>
  <c r="I19" i="12"/>
  <c r="H16" i="25"/>
  <c r="I16" i="25"/>
  <c r="C29" i="2"/>
  <c r="C44" i="18"/>
  <c r="C6" i="29" s="1"/>
  <c r="P32" i="16"/>
  <c r="C38" i="16" s="1"/>
  <c r="H38" i="16" s="1"/>
  <c r="P33" i="16"/>
  <c r="C39" i="16" s="1"/>
  <c r="H39" i="16" s="1"/>
  <c r="P31" i="16"/>
  <c r="C37" i="16" s="1"/>
  <c r="H37" i="16" s="1"/>
  <c r="C30" i="14"/>
  <c r="H30" i="14" s="1"/>
  <c r="C44" i="14" s="1"/>
  <c r="L30" i="14"/>
  <c r="C31" i="14" s="1"/>
  <c r="H31" i="14" s="1"/>
  <c r="C45" i="14" s="1"/>
  <c r="L31" i="14"/>
  <c r="C32" i="14" s="1"/>
  <c r="H32" i="14" s="1"/>
  <c r="C46" i="14" s="1"/>
  <c r="L32" i="14"/>
  <c r="C33" i="14" s="1"/>
  <c r="L33" i="14"/>
  <c r="C34" i="14" s="1"/>
  <c r="H34" i="14" s="1"/>
  <c r="C48" i="14" s="1"/>
  <c r="C36" i="16"/>
  <c r="H36" i="16" s="1"/>
  <c r="C35" i="16"/>
  <c r="H35" i="16" s="1"/>
  <c r="H19" i="32"/>
  <c r="I19" i="32"/>
  <c r="H16" i="32"/>
  <c r="C31" i="32" s="1"/>
  <c r="H31" i="32" s="1"/>
  <c r="C33" i="32" s="1"/>
  <c r="I16" i="32"/>
  <c r="R31" i="28"/>
  <c r="S31" i="28"/>
  <c r="R33" i="28"/>
  <c r="S33" i="28"/>
  <c r="R43" i="28"/>
  <c r="S43" i="28"/>
  <c r="R39" i="28"/>
  <c r="S39" i="28"/>
  <c r="R30" i="28"/>
  <c r="S30" i="28"/>
  <c r="R32" i="28"/>
  <c r="S32" i="28"/>
  <c r="R40" i="28"/>
  <c r="R20" i="28" s="1"/>
  <c r="P60" i="32" s="1"/>
  <c r="S40" i="28"/>
  <c r="R45" i="28"/>
  <c r="S45" i="28"/>
  <c r="S25" i="28" s="1"/>
  <c r="Q65" i="32" s="1"/>
  <c r="R36" i="28"/>
  <c r="S36" i="28"/>
  <c r="R47" i="28"/>
  <c r="S47" i="28"/>
  <c r="S38" i="28"/>
  <c r="S28" i="28" s="1"/>
  <c r="Q68" i="32" s="1"/>
  <c r="R38" i="28"/>
  <c r="R28" i="28" s="1"/>
  <c r="P68" i="32" s="1"/>
  <c r="Q34" i="28"/>
  <c r="S34" i="28"/>
  <c r="Q37" i="28"/>
  <c r="S37" i="28"/>
  <c r="R42" i="28"/>
  <c r="S42" i="28"/>
  <c r="R46" i="28"/>
  <c r="R26" i="28" s="1"/>
  <c r="P66" i="32" s="1"/>
  <c r="S46" i="28"/>
  <c r="R41" i="28"/>
  <c r="S41" i="28"/>
  <c r="R44" i="28"/>
  <c r="S44" i="28"/>
  <c r="R29" i="28"/>
  <c r="S29" i="28"/>
  <c r="H17" i="39"/>
  <c r="I17" i="39"/>
  <c r="Z23" i="28"/>
  <c r="P57" i="40" s="1"/>
  <c r="AI28" i="28"/>
  <c r="AI20" i="28"/>
  <c r="Z20" i="28"/>
  <c r="P54" i="40" s="1"/>
  <c r="AI22" i="28"/>
  <c r="AI24" i="28"/>
  <c r="AI23" i="28"/>
  <c r="V30" i="39" s="1"/>
  <c r="AI19" i="28"/>
  <c r="V28" i="39" s="1"/>
  <c r="Z19" i="28"/>
  <c r="P53" i="40" s="1"/>
  <c r="AI26" i="28"/>
  <c r="Z21" i="28"/>
  <c r="P55" i="40" s="1"/>
  <c r="AI25" i="28"/>
  <c r="V31" i="39" s="1"/>
  <c r="AI27" i="28"/>
  <c r="V32" i="39" s="1"/>
  <c r="Z22" i="28"/>
  <c r="P56" i="40" s="1"/>
  <c r="AI21" i="28"/>
  <c r="V29" i="39" s="1"/>
  <c r="I17" i="2"/>
  <c r="Q46" i="28"/>
  <c r="Q26" i="28" s="1"/>
  <c r="O66" i="32" s="1"/>
  <c r="C32" i="16"/>
  <c r="H32" i="16" s="1"/>
  <c r="Q45" i="28"/>
  <c r="Q39" i="28"/>
  <c r="Q29" i="28"/>
  <c r="Q31" i="28"/>
  <c r="Q47" i="28"/>
  <c r="Q27" i="28" s="1"/>
  <c r="O67" i="32" s="1"/>
  <c r="Q33" i="28"/>
  <c r="C4" i="29"/>
  <c r="H31" i="40"/>
  <c r="Q30" i="28"/>
  <c r="Q42" i="28"/>
  <c r="Q44" i="28"/>
  <c r="Q32" i="28"/>
  <c r="R37" i="28"/>
  <c r="Q43" i="28"/>
  <c r="Q40" i="28"/>
  <c r="Q38" i="28"/>
  <c r="Q28" i="28" s="1"/>
  <c r="O68" i="32" s="1"/>
  <c r="R34" i="28"/>
  <c r="R24" i="28" s="1"/>
  <c r="P64" i="32" s="1"/>
  <c r="Q41" i="28"/>
  <c r="Q35" i="28"/>
  <c r="R35" i="28"/>
  <c r="X20" i="28"/>
  <c r="N54" i="40" s="1"/>
  <c r="AG19" i="28"/>
  <c r="T28" i="39" s="1"/>
  <c r="I16" i="19"/>
  <c r="H30" i="16"/>
  <c r="AH21" i="28"/>
  <c r="U29" i="39" s="1"/>
  <c r="R22" i="28"/>
  <c r="P62" i="32" s="1"/>
  <c r="Y20" i="28"/>
  <c r="O54" i="40" s="1"/>
  <c r="C34" i="16"/>
  <c r="H34" i="16" s="1"/>
  <c r="AG21" i="28"/>
  <c r="T29" i="39" s="1"/>
  <c r="AH20" i="28"/>
  <c r="X21" i="28"/>
  <c r="N55" i="40" s="1"/>
  <c r="AH27" i="28"/>
  <c r="U32" i="39" s="1"/>
  <c r="AH24" i="28"/>
  <c r="AG28" i="28"/>
  <c r="X23" i="28"/>
  <c r="N57" i="40" s="1"/>
  <c r="AH22" i="28"/>
  <c r="AH25" i="28"/>
  <c r="U31" i="39" s="1"/>
  <c r="AG26" i="28"/>
  <c r="AH23" i="28"/>
  <c r="U30" i="39" s="1"/>
  <c r="AG27" i="28"/>
  <c r="T32" i="39" s="1"/>
  <c r="AG24" i="28"/>
  <c r="AH19" i="28"/>
  <c r="U28" i="39" s="1"/>
  <c r="Y22" i="28"/>
  <c r="O56" i="40" s="1"/>
  <c r="AG23" i="28"/>
  <c r="T30" i="39" s="1"/>
  <c r="AG25" i="28"/>
  <c r="T31" i="39" s="1"/>
  <c r="AH28" i="28"/>
  <c r="AG20" i="28"/>
  <c r="Y21" i="28"/>
  <c r="O55" i="40" s="1"/>
  <c r="X19" i="28"/>
  <c r="N53" i="40" s="1"/>
  <c r="X22" i="28"/>
  <c r="N56" i="40" s="1"/>
  <c r="AG22" i="28"/>
  <c r="Y23" i="28"/>
  <c r="O57" i="40" s="1"/>
  <c r="Y19" i="28"/>
  <c r="O53" i="40" s="1"/>
  <c r="AH26" i="28"/>
  <c r="C31" i="16"/>
  <c r="H31" i="16" s="1"/>
  <c r="H16" i="39"/>
  <c r="I16" i="39"/>
  <c r="I18" i="39"/>
  <c r="H18" i="39"/>
  <c r="C31" i="38"/>
  <c r="H31" i="38" s="1"/>
  <c r="C38" i="38"/>
  <c r="H38" i="38" s="1"/>
  <c r="C34" i="38"/>
  <c r="H34" i="38" s="1"/>
  <c r="C35" i="38"/>
  <c r="H35" i="38" s="1"/>
  <c r="C33" i="38"/>
  <c r="H33" i="38" s="1"/>
  <c r="C32" i="38"/>
  <c r="H32" i="38" s="1"/>
  <c r="C37" i="38"/>
  <c r="H37" i="38" s="1"/>
  <c r="C36" i="38"/>
  <c r="H36" i="38" s="1"/>
  <c r="C30" i="38"/>
  <c r="H30" i="38" s="1"/>
  <c r="I17" i="12" l="1"/>
  <c r="O50" i="40"/>
  <c r="P49" i="40"/>
  <c r="N50" i="40"/>
  <c r="C49" i="40" s="1"/>
  <c r="H49" i="40" s="1"/>
  <c r="P50" i="40"/>
  <c r="P48" i="40"/>
  <c r="O48" i="40"/>
  <c r="O52" i="40"/>
  <c r="Q24" i="28"/>
  <c r="O64" i="32" s="1"/>
  <c r="O54" i="32" s="1"/>
  <c r="S21" i="28"/>
  <c r="Q61" i="32" s="1"/>
  <c r="Q51" i="32" s="1"/>
  <c r="R21" i="28"/>
  <c r="P61" i="32" s="1"/>
  <c r="P51" i="32" s="1"/>
  <c r="S20" i="28"/>
  <c r="Q60" i="32" s="1"/>
  <c r="S23" i="28"/>
  <c r="Q63" i="32" s="1"/>
  <c r="Q53" i="32" s="1"/>
  <c r="R23" i="28"/>
  <c r="P63" i="32" s="1"/>
  <c r="P53" i="32" s="1"/>
  <c r="P52" i="40"/>
  <c r="N52" i="40"/>
  <c r="N51" i="40"/>
  <c r="N48" i="40"/>
  <c r="O49" i="40"/>
  <c r="P51" i="40"/>
  <c r="S27" i="28"/>
  <c r="Q67" i="32" s="1"/>
  <c r="Q57" i="32" s="1"/>
  <c r="R27" i="28"/>
  <c r="P67" i="32" s="1"/>
  <c r="P57" i="32" s="1"/>
  <c r="S22" i="28"/>
  <c r="Q62" i="32" s="1"/>
  <c r="Q52" i="32" s="1"/>
  <c r="S26" i="28"/>
  <c r="Q66" i="32" s="1"/>
  <c r="Q56" i="32" s="1"/>
  <c r="O51" i="40"/>
  <c r="N49" i="40"/>
  <c r="C48" i="40" s="1"/>
  <c r="H48" i="40" s="1"/>
  <c r="H44" i="14"/>
  <c r="F15" i="29"/>
  <c r="H33" i="14"/>
  <c r="C47" i="14" s="1"/>
  <c r="C33" i="40"/>
  <c r="H33" i="40" s="1"/>
  <c r="C34" i="40" s="1"/>
  <c r="H31" i="41"/>
  <c r="C33" i="41" s="1"/>
  <c r="H33" i="41" s="1"/>
  <c r="C48" i="41" s="1"/>
  <c r="C8" i="29" s="1"/>
  <c r="C32" i="39"/>
  <c r="C17" i="29" s="1"/>
  <c r="C83" i="32"/>
  <c r="E11" i="29" s="1"/>
  <c r="C38" i="25"/>
  <c r="C12" i="29" s="1"/>
  <c r="C46" i="16"/>
  <c r="H16" i="29" s="1"/>
  <c r="H48" i="14"/>
  <c r="J15" i="29"/>
  <c r="H46" i="14"/>
  <c r="H15" i="29"/>
  <c r="H45" i="14"/>
  <c r="G15" i="29"/>
  <c r="G18" i="2"/>
  <c r="C45" i="16"/>
  <c r="G16" i="29" s="1"/>
  <c r="C47" i="16"/>
  <c r="I16" i="29" s="1"/>
  <c r="C48" i="16"/>
  <c r="C44" i="16"/>
  <c r="F16" i="29" s="1"/>
  <c r="Q25" i="28"/>
  <c r="O65" i="32" s="1"/>
  <c r="O55" i="32" s="1"/>
  <c r="S24" i="28"/>
  <c r="Q64" i="32" s="1"/>
  <c r="Q54" i="32" s="1"/>
  <c r="S19" i="28"/>
  <c r="Q59" i="32" s="1"/>
  <c r="Q49" i="32" s="1"/>
  <c r="R19" i="28"/>
  <c r="P59" i="32" s="1"/>
  <c r="P49" i="32" s="1"/>
  <c r="Q19" i="28"/>
  <c r="O59" i="32" s="1"/>
  <c r="O49" i="32" s="1"/>
  <c r="O57" i="32"/>
  <c r="Q55" i="32"/>
  <c r="Q58" i="32"/>
  <c r="O56" i="32"/>
  <c r="O58" i="32"/>
  <c r="P50" i="32"/>
  <c r="P54" i="32"/>
  <c r="P56" i="32"/>
  <c r="P52" i="32"/>
  <c r="P58" i="32"/>
  <c r="Q50" i="32"/>
  <c r="R25" i="28"/>
  <c r="P65" i="32" s="1"/>
  <c r="P55" i="32" s="1"/>
  <c r="C51" i="40"/>
  <c r="H51" i="40" s="1"/>
  <c r="V24" i="39"/>
  <c r="V23" i="39"/>
  <c r="V25" i="39"/>
  <c r="V26" i="39"/>
  <c r="V27" i="39"/>
  <c r="Q21" i="28"/>
  <c r="O61" i="32" s="1"/>
  <c r="O51" i="32" s="1"/>
  <c r="H44" i="18"/>
  <c r="C45" i="18" s="1"/>
  <c r="Q23" i="28"/>
  <c r="O63" i="32" s="1"/>
  <c r="O53" i="32" s="1"/>
  <c r="Q22" i="28"/>
  <c r="O62" i="32" s="1"/>
  <c r="O52" i="32" s="1"/>
  <c r="Q20" i="28"/>
  <c r="O60" i="32" s="1"/>
  <c r="O50" i="32" s="1"/>
  <c r="H30" i="19"/>
  <c r="H31" i="19"/>
  <c r="T27" i="39"/>
  <c r="U26" i="39"/>
  <c r="C38" i="17"/>
  <c r="H38" i="17" s="1"/>
  <c r="T24" i="39"/>
  <c r="U24" i="39"/>
  <c r="T26" i="39"/>
  <c r="U23" i="39"/>
  <c r="U25" i="39"/>
  <c r="T25" i="39"/>
  <c r="U27" i="39"/>
  <c r="T23" i="39"/>
  <c r="H45" i="27"/>
  <c r="C46" i="27" s="1"/>
  <c r="C47" i="40" l="1"/>
  <c r="H47" i="40" s="1"/>
  <c r="C50" i="40"/>
  <c r="H50" i="40" s="1"/>
  <c r="C32" i="19"/>
  <c r="H46" i="16"/>
  <c r="I15" i="29"/>
  <c r="H47" i="14"/>
  <c r="O44" i="32"/>
  <c r="H38" i="25"/>
  <c r="C39" i="25" s="1"/>
  <c r="H34" i="40"/>
  <c r="C35" i="40" s="1"/>
  <c r="C49" i="18"/>
  <c r="J6" i="29" s="1"/>
  <c r="C47" i="18"/>
  <c r="H6" i="29" s="1"/>
  <c r="F6" i="29"/>
  <c r="I18" i="2"/>
  <c r="H29" i="2"/>
  <c r="O38" i="32"/>
  <c r="P44" i="32"/>
  <c r="P38" i="32"/>
  <c r="O46" i="32"/>
  <c r="O40" i="32"/>
  <c r="P41" i="32"/>
  <c r="P47" i="32"/>
  <c r="O45" i="32"/>
  <c r="O39" i="32"/>
  <c r="Q42" i="32"/>
  <c r="Q48" i="32"/>
  <c r="Q47" i="32"/>
  <c r="Q41" i="32"/>
  <c r="P48" i="32"/>
  <c r="P42" i="32"/>
  <c r="O42" i="32"/>
  <c r="O48" i="32"/>
  <c r="Q45" i="32"/>
  <c r="Q39" i="32"/>
  <c r="O47" i="32"/>
  <c r="O41" i="32"/>
  <c r="Q46" i="32"/>
  <c r="Q40" i="32"/>
  <c r="Q44" i="32"/>
  <c r="Q38" i="32"/>
  <c r="P40" i="32"/>
  <c r="P46" i="32"/>
  <c r="H83" i="32"/>
  <c r="P45" i="32"/>
  <c r="P39" i="32"/>
  <c r="C24" i="39"/>
  <c r="H24" i="39" s="1"/>
  <c r="C26" i="39"/>
  <c r="H26" i="39" s="1"/>
  <c r="C23" i="39"/>
  <c r="H23" i="39" s="1"/>
  <c r="C25" i="39"/>
  <c r="H25" i="39" s="1"/>
  <c r="C27" i="39"/>
  <c r="H27" i="39" s="1"/>
  <c r="C46" i="18"/>
  <c r="G6" i="29" s="1"/>
  <c r="C48" i="18"/>
  <c r="I6" i="29" s="1"/>
  <c r="J16" i="29"/>
  <c r="C49" i="27"/>
  <c r="I13" i="29" s="1"/>
  <c r="F13" i="29"/>
  <c r="C47" i="27"/>
  <c r="G13" i="29" s="1"/>
  <c r="C50" i="27"/>
  <c r="J13" i="29" s="1"/>
  <c r="C48" i="27"/>
  <c r="H13" i="29" s="1"/>
  <c r="H48" i="41"/>
  <c r="C53" i="41" s="1"/>
  <c r="H45" i="16"/>
  <c r="H44" i="16"/>
  <c r="H47" i="16"/>
  <c r="C42" i="17"/>
  <c r="J4" i="29" s="1"/>
  <c r="F4" i="29"/>
  <c r="C41" i="17"/>
  <c r="I4" i="29" s="1"/>
  <c r="C40" i="17"/>
  <c r="H4" i="29" s="1"/>
  <c r="C39" i="17"/>
  <c r="G4" i="29" s="1"/>
  <c r="H48" i="16"/>
  <c r="H32" i="39"/>
  <c r="I18" i="12"/>
  <c r="H53" i="41" l="1"/>
  <c r="J8" i="29"/>
  <c r="C40" i="25"/>
  <c r="C42" i="25"/>
  <c r="C41" i="25"/>
  <c r="H41" i="25" s="1"/>
  <c r="C43" i="25"/>
  <c r="C33" i="39"/>
  <c r="F17" i="29" s="1"/>
  <c r="C44" i="32"/>
  <c r="H44" i="32" s="1"/>
  <c r="C39" i="32"/>
  <c r="H39" i="32" s="1"/>
  <c r="H49" i="18"/>
  <c r="H35" i="40"/>
  <c r="C36" i="40" s="1"/>
  <c r="C44" i="2"/>
  <c r="C5" i="29" s="1"/>
  <c r="H30" i="12"/>
  <c r="G12" i="29"/>
  <c r="H40" i="25"/>
  <c r="I12" i="29"/>
  <c r="H42" i="25"/>
  <c r="H12" i="29"/>
  <c r="J12" i="29"/>
  <c r="H43" i="25"/>
  <c r="F12" i="29"/>
  <c r="H39" i="25"/>
  <c r="C47" i="32"/>
  <c r="H47" i="32" s="1"/>
  <c r="C43" i="32"/>
  <c r="H43" i="32" s="1"/>
  <c r="C45" i="32"/>
  <c r="H45" i="32" s="1"/>
  <c r="H46" i="18"/>
  <c r="C40" i="32"/>
  <c r="H40" i="32" s="1"/>
  <c r="C85" i="32" s="1"/>
  <c r="G11" i="29" s="1"/>
  <c r="C42" i="32"/>
  <c r="H42" i="32" s="1"/>
  <c r="C48" i="32"/>
  <c r="H48" i="32" s="1"/>
  <c r="C46" i="32"/>
  <c r="H46" i="32" s="1"/>
  <c r="C41" i="32"/>
  <c r="H41" i="32" s="1"/>
  <c r="H48" i="18"/>
  <c r="H47" i="18"/>
  <c r="H45" i="18"/>
  <c r="C51" i="41"/>
  <c r="C52" i="41"/>
  <c r="C49" i="41"/>
  <c r="C50" i="41"/>
  <c r="H41" i="17"/>
  <c r="H42" i="17"/>
  <c r="H40" i="17"/>
  <c r="H39" i="17"/>
  <c r="C37" i="39"/>
  <c r="J17" i="29" s="1"/>
  <c r="C34" i="39"/>
  <c r="G17" i="29" s="1"/>
  <c r="C35" i="39"/>
  <c r="H17" i="29" s="1"/>
  <c r="C36" i="39"/>
  <c r="I17" i="29" s="1"/>
  <c r="E18" i="29"/>
  <c r="H50" i="27"/>
  <c r="H49" i="27"/>
  <c r="H47" i="27"/>
  <c r="H46" i="27"/>
  <c r="H48" i="27"/>
  <c r="H49" i="41" l="1"/>
  <c r="F8" i="29"/>
  <c r="H50" i="41"/>
  <c r="G8" i="29"/>
  <c r="H52" i="41"/>
  <c r="I8" i="29"/>
  <c r="H51" i="41"/>
  <c r="H8" i="29"/>
  <c r="C87" i="32"/>
  <c r="I11" i="29" s="1"/>
  <c r="C84" i="32"/>
  <c r="F11" i="29" s="1"/>
  <c r="H37" i="40"/>
  <c r="C38" i="40" s="1"/>
  <c r="C88" i="32"/>
  <c r="J11" i="29" s="1"/>
  <c r="C86" i="32"/>
  <c r="H36" i="40"/>
  <c r="C45" i="12"/>
  <c r="C7" i="29" s="1"/>
  <c r="H44" i="2"/>
  <c r="C47" i="2" s="1"/>
  <c r="H5" i="29" s="1"/>
  <c r="H37" i="39"/>
  <c r="H34" i="39"/>
  <c r="H36" i="39"/>
  <c r="H33" i="39"/>
  <c r="H35" i="39"/>
  <c r="H86" i="32" l="1"/>
  <c r="H11" i="29"/>
  <c r="H38" i="40"/>
  <c r="C39" i="40" s="1"/>
  <c r="H45" i="12"/>
  <c r="C50" i="12" s="1"/>
  <c r="J7" i="29" s="1"/>
  <c r="C48" i="2"/>
  <c r="I5" i="29" s="1"/>
  <c r="C49" i="2"/>
  <c r="J5" i="29" s="1"/>
  <c r="C46" i="2"/>
  <c r="G5" i="29" s="1"/>
  <c r="C45" i="2"/>
  <c r="F5" i="29" s="1"/>
  <c r="H87" i="32"/>
  <c r="H88" i="32"/>
  <c r="H84" i="32"/>
  <c r="H85" i="32"/>
  <c r="C48" i="12"/>
  <c r="H7" i="29" s="1"/>
  <c r="C49" i="12"/>
  <c r="I7" i="29" s="1"/>
  <c r="H47" i="2"/>
  <c r="H50" i="12" l="1"/>
  <c r="C46" i="12"/>
  <c r="F7" i="29" s="1"/>
  <c r="H39" i="40"/>
  <c r="C40" i="40" s="1"/>
  <c r="C47" i="12"/>
  <c r="G7" i="29" s="1"/>
  <c r="H46" i="2"/>
  <c r="H49" i="2"/>
  <c r="H48" i="2"/>
  <c r="H45" i="2"/>
  <c r="H48" i="12"/>
  <c r="H49" i="12"/>
  <c r="H46" i="12" l="1"/>
  <c r="H47" i="12"/>
  <c r="H40" i="40"/>
  <c r="C41" i="40" s="1"/>
  <c r="H23" i="38"/>
  <c r="H41" i="40" l="1"/>
  <c r="C66" i="40" s="1"/>
  <c r="C47" i="38"/>
  <c r="H47" i="38" s="1"/>
  <c r="C24" i="38"/>
  <c r="H24" i="38" s="1"/>
  <c r="C44" i="38"/>
  <c r="C48" i="38"/>
  <c r="C45" i="38"/>
  <c r="C46" i="38"/>
  <c r="I14" i="29" l="1"/>
  <c r="D10" i="29"/>
  <c r="D18" i="29" s="1"/>
  <c r="H66" i="40"/>
  <c r="H46" i="38"/>
  <c r="H14" i="29"/>
  <c r="J14" i="29"/>
  <c r="H48" i="38"/>
  <c r="H44" i="38"/>
  <c r="F14" i="29"/>
  <c r="G14" i="29"/>
  <c r="H45" i="38"/>
  <c r="H32" i="19"/>
  <c r="C47" i="19" s="1"/>
  <c r="C68" i="40" l="1"/>
  <c r="C67" i="40"/>
  <c r="C69" i="40"/>
  <c r="C70" i="40"/>
  <c r="C71" i="40"/>
  <c r="H47" i="19"/>
  <c r="C9" i="29"/>
  <c r="I10" i="29" l="1"/>
  <c r="H70" i="40"/>
  <c r="J10" i="29"/>
  <c r="H71" i="40"/>
  <c r="H10" i="29"/>
  <c r="H69" i="40"/>
  <c r="F10" i="29"/>
  <c r="H67" i="40"/>
  <c r="G10" i="29"/>
  <c r="H68" i="40"/>
  <c r="C49" i="19"/>
  <c r="C50" i="19"/>
  <c r="C48" i="19"/>
  <c r="C52" i="19"/>
  <c r="C51" i="19"/>
  <c r="C18" i="29"/>
  <c r="H51" i="19" l="1"/>
  <c r="I9" i="29"/>
  <c r="H9" i="29"/>
  <c r="H50" i="19"/>
  <c r="J9" i="29"/>
  <c r="H52" i="19"/>
  <c r="H48" i="19"/>
  <c r="F9" i="29"/>
  <c r="H49" i="19"/>
  <c r="G9" i="29"/>
  <c r="I18" i="29" l="1"/>
  <c r="I19" i="29" s="1"/>
  <c r="F18" i="29"/>
  <c r="F19" i="29" s="1"/>
  <c r="H18" i="29"/>
  <c r="H20" i="29" s="1"/>
  <c r="G18" i="29"/>
  <c r="J18" i="29"/>
  <c r="I20" i="29" l="1"/>
  <c r="F20" i="29"/>
  <c r="H19" i="29"/>
  <c r="J20" i="29"/>
  <c r="J19" i="29"/>
  <c r="G19" i="29"/>
  <c r="G20" i="29"/>
</calcChain>
</file>

<file path=xl/sharedStrings.xml><?xml version="1.0" encoding="utf-8"?>
<sst xmlns="http://schemas.openxmlformats.org/spreadsheetml/2006/main" count="3296" uniqueCount="540">
  <si>
    <t>Overview of Strategies</t>
  </si>
  <si>
    <t xml:space="preserve"> </t>
  </si>
  <si>
    <t>Title</t>
  </si>
  <si>
    <t>Brief name</t>
  </si>
  <si>
    <t>Definition</t>
  </si>
  <si>
    <t>Examples</t>
  </si>
  <si>
    <t>Transit</t>
  </si>
  <si>
    <t>New or Expanded Transit Service</t>
  </si>
  <si>
    <t>Transit Service</t>
  </si>
  <si>
    <t xml:space="preserve">New or expanded transit service that is expected to increase ridership and reduce driving </t>
  </si>
  <si>
    <t>• Building facilities for new or extended routes
• Purchasing new transit vehicles to support expanded service
• Initial operation of new or expanded service 
• Service improvements, such as implementing bus rapid transit on a bus route</t>
  </si>
  <si>
    <t>Transit Station Amenities</t>
  </si>
  <si>
    <t>Improvements at transit stations that are expected to increase ridership and reduce driving</t>
  </si>
  <si>
    <t>• Real-time arrival information displays and tracking systems
• Station access improvements
• New shelters, benches, or other facilities for waiting riders</t>
  </si>
  <si>
    <t xml:space="preserve">New or Expanded Ferry Service </t>
  </si>
  <si>
    <t>Ferry Service</t>
  </si>
  <si>
    <t>New or expanded ferry service that is expected to increase ridership and reduce driving</t>
  </si>
  <si>
    <t>• Purchasing new ferry vehicles to support expanded service
• Initial operation of new or expanded service</t>
  </si>
  <si>
    <t>Business Access and Transit (BAT) Lanes</t>
  </si>
  <si>
    <t>BAT Lanes </t>
  </si>
  <si>
    <t>Lanes that are reserved for transit vehicles and vehicles accessing businesses, and that are expected to increase the operating speed of transit and draw new riders</t>
  </si>
  <si>
    <t>• BAT lanes</t>
  </si>
  <si>
    <t>Bicycle/Pedestrian</t>
  </si>
  <si>
    <t xml:space="preserve">New or Upgraded Bicycle Facility
</t>
  </si>
  <si>
    <t>Bike Facilities</t>
  </si>
  <si>
    <t>New or upgraded bicycle and/or pedestrian facilities that are expected to increase bicycling or walking and reduce driving</t>
  </si>
  <si>
    <t xml:space="preserve">• New separated bicycling  trails
• New bicycle lanes 
 </t>
  </si>
  <si>
    <t xml:space="preserve">New or Upgraded Pedestrian Facility
</t>
  </si>
  <si>
    <t>Ped Facilities</t>
  </si>
  <si>
    <t xml:space="preserve">• New walking trails
• New sidewalks 
• Major sidewalk repairs or other projects that fix key gaps </t>
  </si>
  <si>
    <t>Intelligent transportation systems and traffic operations</t>
  </si>
  <si>
    <t>Reduce Intersection Delay</t>
  </si>
  <si>
    <t>Projects that reduce the amount of time that vehicles spend idling at a single intersection or a series of intersections along a corridor</t>
  </si>
  <si>
    <t>• Traffic signal synchronization
• Advanced traffic management systems
• New signal phases or intersection configurations</t>
  </si>
  <si>
    <t>Increase Corridor Speed</t>
  </si>
  <si>
    <t xml:space="preserve">Projects that increase the average moving speed of vehicles </t>
  </si>
  <si>
    <t>• Managed lanes
• Incident management</t>
  </si>
  <si>
    <t>Outreach and ridesharing programs</t>
  </si>
  <si>
    <t>Outreach Prgms. &amp; Sub. Transit</t>
  </si>
  <si>
    <t>Outreach Programs and Subsidized Transit</t>
  </si>
  <si>
    <t xml:space="preserve">Programs that either promote the use of alternatives to single-occupant vehicles, including transit, bicycling, walking, and carpooling, or cover some or all of the cost of transit fares.  </t>
  </si>
  <si>
    <t>• Employee travel marketing programs
• Subsidized or free transit passes
• Transit fare vouchers</t>
  </si>
  <si>
    <t>Vanpools</t>
  </si>
  <si>
    <t xml:space="preserve">Workplace programs that organize shared vans for employees that live in similar locations </t>
  </si>
  <si>
    <t>• Vanpool programs</t>
  </si>
  <si>
    <t>Vehicle replacement and electrification</t>
  </si>
  <si>
    <t>Vehicle Replacement</t>
  </si>
  <si>
    <t xml:space="preserve">Replacing older high polluting vehicles with newer more efficient models.  </t>
  </si>
  <si>
    <t>• Purchasing new cars, trucks and buses to replace older ones</t>
  </si>
  <si>
    <t>Medium/Heavy-Duty Vehicle Electrification</t>
  </si>
  <si>
    <t>MHD ZEVs</t>
  </si>
  <si>
    <t>Replacing conventional (diesel, gas, CNG) trucks and buses with electric or hydrogen versions</t>
  </si>
  <si>
    <t>• Purchasing zero-emission vehicles to replace vehicles that use conventional fuels</t>
  </si>
  <si>
    <t>Light Duty Vehicle Electrification</t>
  </si>
  <si>
    <t>LD ZEVs</t>
  </si>
  <si>
    <t>Replacing conventional (diesel, gas, CNG) cars, SUVs and pickups with electric or hydrogen versions</t>
  </si>
  <si>
    <t>Open-ended</t>
  </si>
  <si>
    <t>Vehicle Miles Traveled Reduction</t>
  </si>
  <si>
    <t>VMT Reduction</t>
  </si>
  <si>
    <t xml:space="preserve">Projects that do not fall into any of the categories listed above and reduce vehicle miles traveled. </t>
  </si>
  <si>
    <t>Results Summary</t>
  </si>
  <si>
    <t>Strategy</t>
  </si>
  <si>
    <t>Daily VMT reduction (mi/day)</t>
  </si>
  <si>
    <t>Reduction in vehicle delay (hrs/day)</t>
  </si>
  <si>
    <t>Total travel time savings (hrs/day)</t>
  </si>
  <si>
    <t>Total CO2 reduction (kg/day)</t>
  </si>
  <si>
    <t>Total CO reduction (kg/day)</t>
  </si>
  <si>
    <t>Total PM2.5 reduction (kg/day)</t>
  </si>
  <si>
    <t>Total NOx reduction (kg/day)</t>
  </si>
  <si>
    <t>Total VOC reduction (kg/day)</t>
  </si>
  <si>
    <t>n/a</t>
  </si>
  <si>
    <t>Outreach Programs &amp; Subsidized Transit</t>
  </si>
  <si>
    <t>Medium &amp; Heavy Duty Fleet Electrification</t>
  </si>
  <si>
    <t>Light Duty Fleet Electrification</t>
  </si>
  <si>
    <t>Total</t>
  </si>
  <si>
    <t>Total Emission Impacts (tons/year)</t>
  </si>
  <si>
    <t>Total Emission Impacts (lbs/year)</t>
  </si>
  <si>
    <t>COLOR KEY &amp; DIRECTIONS:</t>
  </si>
  <si>
    <r>
      <rPr>
        <u/>
        <sz val="10"/>
        <color rgb="FF000000"/>
        <rFont val="Calibri"/>
        <family val="2"/>
      </rPr>
      <t>REQUIRED USER INPUTS:</t>
    </r>
    <r>
      <rPr>
        <b/>
        <sz val="10"/>
        <color rgb="FF000000"/>
        <rFont val="Calibri"/>
        <family val="2"/>
      </rPr>
      <t xml:space="preserve">  </t>
    </r>
    <r>
      <rPr>
        <sz val="10"/>
        <color rgb="FF000000"/>
        <rFont val="Calibri"/>
        <family val="2"/>
      </rPr>
      <t>Enter project data in dark orange cells.</t>
    </r>
  </si>
  <si>
    <r>
      <rPr>
        <u/>
        <sz val="10"/>
        <color rgb="FF000000"/>
        <rFont val="Calibri"/>
        <family val="2"/>
      </rPr>
      <t>OPTIONAL USER INPUTS:</t>
    </r>
    <r>
      <rPr>
        <b/>
        <sz val="10"/>
        <color rgb="FF000000"/>
        <rFont val="Calibri"/>
        <family val="2"/>
      </rPr>
      <t xml:space="preserve"> </t>
    </r>
    <r>
      <rPr>
        <sz val="10"/>
        <color rgb="FF000000"/>
        <rFont val="Calibri"/>
        <family val="2"/>
      </rPr>
      <t xml:space="preserve">  If project data is available, select “No” to opt out of the PSRC default option and enter project data in light orange cells; otherwise select “Yes” to use default data.</t>
    </r>
  </si>
  <si>
    <r>
      <rPr>
        <u/>
        <sz val="10"/>
        <color rgb="FF000000"/>
        <rFont val="Calibri"/>
        <family val="2"/>
      </rPr>
      <t xml:space="preserve">INTERIM CALCULATION: </t>
    </r>
    <r>
      <rPr>
        <sz val="10"/>
        <color rgb="FF000000"/>
        <rFont val="Calibri"/>
        <family val="2"/>
      </rPr>
      <t xml:space="preserve">  Values in light blue are calculated by tool according to project details. In some cases, values may be modified to align with project-specific details if available.</t>
    </r>
  </si>
  <si>
    <r>
      <rPr>
        <u/>
        <sz val="10"/>
        <color rgb="FF000000"/>
        <rFont val="Calibri"/>
        <family val="2"/>
      </rPr>
      <t xml:space="preserve">ASSUMPTIONS/CONSTANTS: </t>
    </r>
    <r>
      <rPr>
        <sz val="10"/>
        <color rgb="FF000000"/>
        <rFont val="Calibri"/>
        <family val="2"/>
      </rPr>
      <t xml:space="preserve"> Dark blue values are assumptions and constants used for the emissions calculation and cannot be modified.</t>
    </r>
  </si>
  <si>
    <r>
      <rPr>
        <u/>
        <sz val="10"/>
        <color rgb="FF000000"/>
        <rFont val="Calibri"/>
        <family val="2"/>
      </rPr>
      <t>RESULTS:</t>
    </r>
    <r>
      <rPr>
        <b/>
        <sz val="10"/>
        <color rgb="FF000000"/>
        <rFont val="Calibri"/>
        <family val="2"/>
      </rPr>
      <t xml:space="preserve"> </t>
    </r>
    <r>
      <rPr>
        <sz val="10"/>
        <color rgb="FF000000"/>
        <rFont val="Calibri"/>
        <family val="2"/>
      </rPr>
      <t xml:space="preserve"> Emissions reductions are shown in green cells.</t>
    </r>
  </si>
  <si>
    <t>INPUTS</t>
  </si>
  <si>
    <t>Variable</t>
  </si>
  <si>
    <t>Value</t>
  </si>
  <si>
    <t>Use PRSC regional default value?</t>
  </si>
  <si>
    <t>PSRC regional default value</t>
  </si>
  <si>
    <t>Default assumptions</t>
  </si>
  <si>
    <t>Calculation value</t>
  </si>
  <si>
    <t>Error?</t>
  </si>
  <si>
    <t>Year of project implementation</t>
  </si>
  <si>
    <t>Anticipated increase in number of boardings per day due to project</t>
  </si>
  <si>
    <t>Percent of transit users who would otherwise drive</t>
  </si>
  <si>
    <t>Yes</t>
  </si>
  <si>
    <t>Average transit trip length (mi)</t>
  </si>
  <si>
    <t>CONSTANTS &amp; INTERIM CALCULATIONS</t>
  </si>
  <si>
    <t>Average auto occupancy (ppl/veh)</t>
  </si>
  <si>
    <t>Number of SOV trips reduced per day</t>
  </si>
  <si>
    <t>EMISSION FACTORS</t>
  </si>
  <si>
    <t>Vehicle Type</t>
  </si>
  <si>
    <t>Gas:</t>
  </si>
  <si>
    <t>Speed</t>
  </si>
  <si>
    <t>Unit:</t>
  </si>
  <si>
    <t>Light duty vehicle CO2 emissions factor (g/mi)</t>
  </si>
  <si>
    <t>LDV</t>
  </si>
  <si>
    <t>CO2eq</t>
  </si>
  <si>
    <t>g/mi</t>
  </si>
  <si>
    <t>Light duty vehicle CO emissions factor (g/mi)</t>
  </si>
  <si>
    <t>CO</t>
  </si>
  <si>
    <t>Light duty vehicle PM2.5 emissions factor (g/mi)</t>
  </si>
  <si>
    <t>PM2.5</t>
  </si>
  <si>
    <t>Light duty vehicle NOx emissions factor (g/mi)</t>
  </si>
  <si>
    <t>NOx</t>
  </si>
  <si>
    <t>Light duty vehicle VOC emissions factor (g/mi)</t>
  </si>
  <si>
    <t>VOC</t>
  </si>
  <si>
    <t>RESULTS</t>
  </si>
  <si>
    <t>Brief description of transit station amenity</t>
  </si>
  <si>
    <t>Current daily boardings at station (boardings/day)</t>
  </si>
  <si>
    <t>Does the project include real-time information (RTI) on transit arrivals?</t>
  </si>
  <si>
    <t>No</t>
  </si>
  <si>
    <t>Percent increase in daily boardings (%)</t>
  </si>
  <si>
    <t>Estimated post-project transit boardings per day (boardings/day)</t>
  </si>
  <si>
    <t>Percent of transit users who would otherwise drive (%)</t>
  </si>
  <si>
    <t>Percent of total travel time spent waiting before RTI (%)</t>
  </si>
  <si>
    <t>Percent of total travel time spent waiting after RTI (%)</t>
  </si>
  <si>
    <t>Wait time elasticity</t>
  </si>
  <si>
    <t>Average auto occupancy (ppl/vehicle)</t>
  </si>
  <si>
    <t>Emissions Factors Look-up Table:</t>
  </si>
  <si>
    <t>New or Expanded Ferry Service (includes passenger-only service)</t>
  </si>
  <si>
    <t>Anticipated increase in number of one-way ferry boardings per day due to project</t>
  </si>
  <si>
    <t>Length of one-way ferry service (mi)</t>
  </si>
  <si>
    <t>Average ferry occupancy (ppl/ferry)</t>
  </si>
  <si>
    <t>Length of one-way driving route replaced by ferry service (mi)</t>
  </si>
  <si>
    <t>Percent of ferry riders who would otherwise drive</t>
  </si>
  <si>
    <t>Ferry CO2 emissions factor (g/mi)</t>
  </si>
  <si>
    <t>HDV</t>
  </si>
  <si>
    <t>Ferry vehicle CO emissions factor (g/mi)</t>
  </si>
  <si>
    <t>Ferry vehicle PM2.5 emissions factor (g/mi)</t>
  </si>
  <si>
    <t>Ferry vehicle NOx emissions factor (g/mi)</t>
  </si>
  <si>
    <t>Ferry vehicle VOC emissions factor (g/mi)</t>
  </si>
  <si>
    <t>Is the BAT lane located in an urban or suburban area?</t>
  </si>
  <si>
    <t>Current daily transit boardings along corridor receiving BAT lanes (boardings/day)</t>
  </si>
  <si>
    <t>Transit speed increase due to BAT lanes (%)</t>
  </si>
  <si>
    <t>Increase in peak period transit boardings resulting from BAT lanes (%)</t>
  </si>
  <si>
    <t>Estimated post-project peak period transit ridership along corridor (boardings/peak period)</t>
  </si>
  <si>
    <t>Average bus trip length (mi)</t>
  </si>
  <si>
    <t>Percentage of daily transit boardings that occur during the AM and PM peak period</t>
  </si>
  <si>
    <t>Daily peak period transit boardings along corridor (veh/day)</t>
  </si>
  <si>
    <t>Transit ridership/travel time elasticity (peak period)</t>
  </si>
  <si>
    <t>Gas</t>
  </si>
  <si>
    <t>Unit</t>
  </si>
  <si>
    <t>New or Upgraded Bicycle Facility</t>
  </si>
  <si>
    <t>Type of facility</t>
  </si>
  <si>
    <t>Number of people living within a half-mile of the proposed facility</t>
  </si>
  <si>
    <t>Average bicycle commute mode share in project area (%)</t>
  </si>
  <si>
    <t>Average length of bicycle trips (mi)</t>
  </si>
  <si>
    <t>Percentage of the population who are commuters (%)</t>
  </si>
  <si>
    <t>Average number of commuter trips per day</t>
  </si>
  <si>
    <t>Average number of non-commute trips per day</t>
  </si>
  <si>
    <t>Percent of travelers on commute trips who are potential bicyclists (%)</t>
  </si>
  <si>
    <t>Percent of travelers on non-commute trips who are potential bicyclists (%)</t>
  </si>
  <si>
    <t>Percent of potential cyclists who would ride if there was a bike lane serving their destination (%)</t>
  </si>
  <si>
    <t>Average commuter light-duty vehicle occupancy</t>
  </si>
  <si>
    <t>Average overall light-duty vehicle occupancy</t>
  </si>
  <si>
    <t>Number of new bicycle commute trips due to the project</t>
  </si>
  <si>
    <t>Number of new non-commute bicycle trips due to the project</t>
  </si>
  <si>
    <t>Total daily vehicle trips reduced due to new bicyclists</t>
  </si>
  <si>
    <t>New or Upgraded Pedestrian Facility</t>
  </si>
  <si>
    <t>Number of people living within a quarter-mile of the proposed facility</t>
  </si>
  <si>
    <t>Average pedestrian commute mode share in project area (%)</t>
  </si>
  <si>
    <t>Average length of pedestrian trips (mi)</t>
  </si>
  <si>
    <t>Percent of travelers on commute trips who are potential pedestrians (%)</t>
  </si>
  <si>
    <t>Percent of travelers on non-commute trips who are potential pedestrians (%)</t>
  </si>
  <si>
    <t>Percent of potential pedestrians who would walk if there was a sidewalk serving their destination (%)</t>
  </si>
  <si>
    <t>Number of new pedestrian commute trips due to the project</t>
  </si>
  <si>
    <t>Number of new non-commute pedestrian trips due to the project</t>
  </si>
  <si>
    <t>Total daily vehicle trips reduced due to new pedestrians</t>
  </si>
  <si>
    <t>Roadway type</t>
  </si>
  <si>
    <t>Number of lanes (one direction)</t>
  </si>
  <si>
    <t>Number of intersections along the corridor</t>
  </si>
  <si>
    <t>Annual average daily traffic along corridor (veh/day)</t>
  </si>
  <si>
    <t>Truck percent during peak period</t>
  </si>
  <si>
    <t>Delay calculation methodology</t>
  </si>
  <si>
    <t>Estimated reduction in vehicle delay due to improvements</t>
  </si>
  <si>
    <t>Lanes added (one direction)</t>
  </si>
  <si>
    <t>Number of peak hours per day</t>
  </si>
  <si>
    <t>Percentage of average daily vehicle trips that occur during peak periods</t>
  </si>
  <si>
    <t>Percentage of peak period trips traveling in the peak direction</t>
  </si>
  <si>
    <t>Ratio of green time to cycle length</t>
  </si>
  <si>
    <t>Peak direction volume (vehicles per hour)</t>
  </si>
  <si>
    <t>Peak direction capacity (vehicles per hour)</t>
  </si>
  <si>
    <t>Peak volume to capacity ratio</t>
  </si>
  <si>
    <t>Average intersection level of service</t>
  </si>
  <si>
    <t>Average delay per intersection (sec/veh)</t>
  </si>
  <si>
    <t>Existing peak period delay (veh-hr)</t>
  </si>
  <si>
    <t>Post-Project Peak direction capacity (vehicles per hour)</t>
  </si>
  <si>
    <t>Post-Project Peak volume to capacity ratio</t>
  </si>
  <si>
    <t>Post-Project Average intersection level of service</t>
  </si>
  <si>
    <t>Post-Project Average delay per intersection (sec/veh)</t>
  </si>
  <si>
    <t>Post-Project peak period delay (veh-hr)</t>
  </si>
  <si>
    <t>Weighted average idle CO2 emissions factor (g/hr)</t>
  </si>
  <si>
    <t>Weighted average idle CO emissions factor (g/hr)</t>
  </si>
  <si>
    <t>Weighted avg LDV/MDV/HDV</t>
  </si>
  <si>
    <t>g/hr</t>
  </si>
  <si>
    <t>Weighted average idle PM2.5 emissions factor (g/hr)</t>
  </si>
  <si>
    <t>Weighted average idle NOx emissions factor (g/hr)</t>
  </si>
  <si>
    <t>Weighted average idle VOC emissions factor (g/hr)</t>
  </si>
  <si>
    <t>LDV/MDV</t>
  </si>
  <si>
    <t>Length of the corridor (mi)</t>
  </si>
  <si>
    <t>Daily peak direction volume along corridor (veh/day)</t>
  </si>
  <si>
    <t>Existing average vehicle running speed (mph)</t>
  </si>
  <si>
    <t>Post-project average vehicle running speed (mph)</t>
  </si>
  <si>
    <t>Truck percent during peak period (%)</t>
  </si>
  <si>
    <t>Existing number of lanes (total, both directions)</t>
  </si>
  <si>
    <t>Lanes added (total, both directions)</t>
  </si>
  <si>
    <t>Roadway type (FHWA classification)</t>
  </si>
  <si>
    <t>Travel time savings per vehicle (min/veh)</t>
  </si>
  <si>
    <t>Total vehicle miles traveled along corridor during peak periods (VMT/day)</t>
  </si>
  <si>
    <t>VMT Elasticity to lane miles added</t>
  </si>
  <si>
    <t>Total vehicle miles added (VMT/day)</t>
  </si>
  <si>
    <t>EXISITNG:</t>
  </si>
  <si>
    <t>Existing weighted average CO2 emissions factor (g/mi)</t>
  </si>
  <si>
    <t>Existing weighted average CO emissions factor (g/mi)</t>
  </si>
  <si>
    <t>Existing weighted average PM2.5 emissions factor (g/mi)</t>
  </si>
  <si>
    <t>Existing weighted average NOx emissions factor (g/mi)</t>
  </si>
  <si>
    <t>Existing weighted average VOC emissions factor (g/mi)</t>
  </si>
  <si>
    <t>POST PROJECT:</t>
  </si>
  <si>
    <t>Post-project weighted average CO2 emissions factor (g/mi)</t>
  </si>
  <si>
    <t>Post-project weighted average CO emissions factor (g/mi)</t>
  </si>
  <si>
    <t>Post-project weighted average PM2.5 emissions factor (g/mi)</t>
  </si>
  <si>
    <t>Post-project weighted average NOx emissions factor (g/mi)</t>
  </si>
  <si>
    <t>Post-project weighted average VOC emissions factor (g/mi)</t>
  </si>
  <si>
    <t>Number of people reached</t>
  </si>
  <si>
    <t>Percent of people reached who shift from driving to transit, bicycling, walking, or teleworking</t>
  </si>
  <si>
    <t>Average commute trip length (mi)</t>
  </si>
  <si>
    <t>Number of new vanpools</t>
  </si>
  <si>
    <t>Vanpool trip length (mi)</t>
  </si>
  <si>
    <t>Vanpool occupancy (ppl/van)</t>
  </si>
  <si>
    <t>Exclude driver of vanpool (exclude if program requires designated driver who is not originally an employee)</t>
  </si>
  <si>
    <t>Van VMT (mi/day)</t>
  </si>
  <si>
    <t>Van CO2 emissions factor (g/mi)</t>
  </si>
  <si>
    <t>MDV</t>
  </si>
  <si>
    <t>Van CO emissions factor (g/mi)</t>
  </si>
  <si>
    <t>Van PM2.5 emissions factor (g/mi)</t>
  </si>
  <si>
    <t>Van NOx emissions factor (g/mi)</t>
  </si>
  <si>
    <t>Van VOC emissions factor (g/mi)</t>
  </si>
  <si>
    <t>Non-Electric Vehicle Replacement</t>
  </si>
  <si>
    <t>Type of vehicles being replaced</t>
  </si>
  <si>
    <t>Number of vehicles to be replaced</t>
  </si>
  <si>
    <t>Model year of vehicles to be replaced</t>
  </si>
  <si>
    <t>Model year of replacement vehicles</t>
  </si>
  <si>
    <t>Annual miles traveled per replaced vehicle</t>
  </si>
  <si>
    <t xml:space="preserve">Number of weekdays per year </t>
  </si>
  <si>
    <t>Total VMT per day of replaced vehicles</t>
  </si>
  <si>
    <t>Medium/Heavy Duty Zero Emission Vehicle Fleet Replacement</t>
  </si>
  <si>
    <t xml:space="preserve">Existing fuel type / vehicle </t>
  </si>
  <si>
    <t>Model year of existing vehicle</t>
  </si>
  <si>
    <t xml:space="preserve">Alternative fuel type / vehicle </t>
  </si>
  <si>
    <t>Model year of alternative fuel vehicle</t>
  </si>
  <si>
    <t>Number of vehicles replaced</t>
  </si>
  <si>
    <t>Annual miles traveled per vehicle</t>
  </si>
  <si>
    <t>Existing Vehicle Type</t>
  </si>
  <si>
    <t>Alt Fuel Vehicle Type</t>
  </si>
  <si>
    <t>Light Duty Zero Emission Vehicle Fleet Replacement</t>
  </si>
  <si>
    <t>Existing number of vehicles per day (veh/day)</t>
  </si>
  <si>
    <t>Post-project number of vehicles per day (veh/day)</t>
  </si>
  <si>
    <t>Existing trip length (mi)</t>
  </si>
  <si>
    <t>Post-project trip length (mi)</t>
  </si>
  <si>
    <t>MOVES based Running emissions factors</t>
  </si>
  <si>
    <t>Weighted average vehicle CO2 emissions factor (g/mi)</t>
  </si>
  <si>
    <t>Weighted average vehicle CO emissions factor (g/mi)</t>
  </si>
  <si>
    <t>Weighted average vehicle PM2.5 emissions factor (g/mi)</t>
  </si>
  <si>
    <t>Weighted average vehicle NOx emissions factor (g/mi)</t>
  </si>
  <si>
    <t>Weighted average vehicle VOC emissions factor (g/mi)</t>
  </si>
  <si>
    <t>Daily passenger vehicle VMT reduction (mi/day)</t>
  </si>
  <si>
    <t>2018 Running Emission Rates (g/mile)</t>
  </si>
  <si>
    <t>2018 Idle Emission Rates (g/hr)</t>
  </si>
  <si>
    <t>County Group</t>
  </si>
  <si>
    <t>Year</t>
  </si>
  <si>
    <t>Season</t>
  </si>
  <si>
    <t>Pollutant</t>
  </si>
  <si>
    <t>Speed (mph)</t>
  </si>
  <si>
    <t>King County, Washington</t>
  </si>
  <si>
    <t>Summer</t>
  </si>
  <si>
    <t>NOX</t>
  </si>
  <si>
    <t>PRSC default vehicle distribution</t>
  </si>
  <si>
    <t>Class:</t>
  </si>
  <si>
    <t>Default</t>
  </si>
  <si>
    <t>% Share</t>
  </si>
  <si>
    <t>LD</t>
  </si>
  <si>
    <t>MD</t>
  </si>
  <si>
    <t>Weighted LDV/MDV running emissions factors for Increase Corridor Speed</t>
  </si>
  <si>
    <t>Weighted LDV/MDV idle emissions factors for ATMS, intersection improvements and roundabouts</t>
  </si>
  <si>
    <t>Weighted LDV/MDV running emissions factors for open ended</t>
  </si>
  <si>
    <t>Winter</t>
  </si>
  <si>
    <t>LDV/MDV weighted</t>
  </si>
  <si>
    <t xml:space="preserve">2030 Running Emission Rates (g/mile) </t>
  </si>
  <si>
    <t>2030 Idle Emission Rates (g/hr)</t>
  </si>
  <si>
    <t xml:space="preserve">2040 Running Emission Rates (g/mile) </t>
  </si>
  <si>
    <t>2040 Idle Emission Rates (g/hr)</t>
  </si>
  <si>
    <t>Lifetime mileage-weighted average air pollutant emission factors (g/mile) for model years 1990–2020, by vehicle type</t>
  </si>
  <si>
    <t>Source:  MOVES 4 run conducted on the 3 counties that make up the PSRC region with default allocation factors.</t>
  </si>
  <si>
    <t>MY</t>
  </si>
  <si>
    <t>Gasoline passenger car</t>
  </si>
  <si>
    <t>Diesel passenger car</t>
  </si>
  <si>
    <t>E85 passenger car</t>
  </si>
  <si>
    <t>Electric passenger car</t>
  </si>
  <si>
    <t>Gasoline passenger truck</t>
  </si>
  <si>
    <t>Diesel passenger truck</t>
  </si>
  <si>
    <t>E85 passenger truck</t>
  </si>
  <si>
    <t>Electric passenger truck</t>
  </si>
  <si>
    <t>Gasoline LD commercial truck</t>
  </si>
  <si>
    <t>Diesel LD commercial truck</t>
  </si>
  <si>
    <t>E85 LD commercial truck</t>
  </si>
  <si>
    <t>Electric LD commercial truck</t>
  </si>
  <si>
    <t>Gasoline intercity bus</t>
  </si>
  <si>
    <t>Diesel intercity bus</t>
  </si>
  <si>
    <t>CNG intercity bus</t>
  </si>
  <si>
    <t>Electric intercity bus</t>
  </si>
  <si>
    <t>Gasoline transit bus</t>
  </si>
  <si>
    <t>Diesel transit bus</t>
  </si>
  <si>
    <t>CNG transit bus</t>
  </si>
  <si>
    <t>Electric transit bus</t>
  </si>
  <si>
    <t>Gasoline school bus</t>
  </si>
  <si>
    <t>Diesel school bus</t>
  </si>
  <si>
    <t>CNG school bus</t>
  </si>
  <si>
    <t>Electric school bus</t>
  </si>
  <si>
    <t>Gasoline refuse truck</t>
  </si>
  <si>
    <t>Diesel refuse truck</t>
  </si>
  <si>
    <t>CNG refuse truck</t>
  </si>
  <si>
    <t>Electric refuse truck</t>
  </si>
  <si>
    <t>Gasoline single-unit short haul truck</t>
  </si>
  <si>
    <t>Diesel single-unit short haul truck</t>
  </si>
  <si>
    <t>CNG single-unit short haul truck</t>
  </si>
  <si>
    <t>Electric single-unit short haul truck</t>
  </si>
  <si>
    <t>Gasoline single-unit long haul truck</t>
  </si>
  <si>
    <t>Diesel single-unit long haul truck</t>
  </si>
  <si>
    <t>CNG single-unit long haul truck</t>
  </si>
  <si>
    <t>Electric single-unit long haul truck</t>
  </si>
  <si>
    <t>Diesel combination short haul truck</t>
  </si>
  <si>
    <t>CNG combination short haul truck</t>
  </si>
  <si>
    <t>Electric combination short haul truck</t>
  </si>
  <si>
    <t>Diesel combination long haul truck</t>
  </si>
  <si>
    <t>CNG combination long haul truck</t>
  </si>
  <si>
    <t>Electric combination long haul truck</t>
  </si>
  <si>
    <t>for Vlookup</t>
  </si>
  <si>
    <t>CNG Transit Bus - CO2eq</t>
  </si>
  <si>
    <t>CNG Transit Bus - CO</t>
  </si>
  <si>
    <t>CNG Transit Bus - PM2.5</t>
  </si>
  <si>
    <t>CNG Transit Bus - NOX</t>
  </si>
  <si>
    <t>CNG Transit Bus - VOC</t>
  </si>
  <si>
    <t>Electric transit bus - CO2eq</t>
  </si>
  <si>
    <t>Electric transit bus - CO</t>
  </si>
  <si>
    <t>Electric transit bus - PM2.5</t>
  </si>
  <si>
    <t>Electric transit bus - NOX</t>
  </si>
  <si>
    <t>Electric transit bus - VOC</t>
  </si>
  <si>
    <t>Vehicle Electrification or Replacement</t>
  </si>
  <si>
    <t>Dropdowns</t>
  </si>
  <si>
    <t>Source</t>
  </si>
  <si>
    <t>Urban/Suburban</t>
  </si>
  <si>
    <t>Yes/No</t>
  </si>
  <si>
    <t>Location</t>
  </si>
  <si>
    <t>Retrofit Veh Type</t>
  </si>
  <si>
    <t>Retrofit Tech</t>
  </si>
  <si>
    <t>Engine Replacement/Retrofit Type</t>
  </si>
  <si>
    <t>DPF or DOC Vehicle Types</t>
  </si>
  <si>
    <t>Alt fuel - existing veh type</t>
  </si>
  <si>
    <t>Alt fuel - veh type</t>
  </si>
  <si>
    <t>Engine replacement activity metric</t>
  </si>
  <si>
    <t>Bike/ped facility type</t>
  </si>
  <si>
    <t>Delay calculation</t>
  </si>
  <si>
    <t>Annual VMT default</t>
  </si>
  <si>
    <t>mi/yr</t>
  </si>
  <si>
    <t>Consultant best practice - use https://afdc.energy.gov/data/10309 for different values across vehicle types</t>
  </si>
  <si>
    <t>Urban</t>
  </si>
  <si>
    <t>Separated bike lane/trail</t>
  </si>
  <si>
    <t>Reduction percentage</t>
  </si>
  <si>
    <t>Number of weekdays per year</t>
  </si>
  <si>
    <t>days/yr</t>
  </si>
  <si>
    <t>PSRC Regional Travel Model Assumption</t>
  </si>
  <si>
    <t>Suburban</t>
  </si>
  <si>
    <t>Painted bike lane</t>
  </si>
  <si>
    <t>Estimate based on lanes added</t>
  </si>
  <si>
    <t>Average transit trip length</t>
  </si>
  <si>
    <t>mi</t>
  </si>
  <si>
    <t>%</t>
  </si>
  <si>
    <t>Based on APTA data for large transit systems combined with PSRC regional auto occupancy data</t>
  </si>
  <si>
    <t>Average auto occupancy</t>
  </si>
  <si>
    <t>ppl/veh</t>
  </si>
  <si>
    <t>Estimated percentage increase in boardings per day at station(s) due to amenity</t>
  </si>
  <si>
    <t>Projects that include real-time information will receive a default value of 2.53%, which is equal to the percentage decrease in travel time due to real-time information multiplied by the elasticity of transit ridership with respect to wait time, based on the three data points listed below. Other projects will receive a default value of 1%. There is a lack of research showing substantial ridership increases due to most transit amenities, so PSRC applies a conservative default assumption when estimating the benefits of these projects.</t>
  </si>
  <si>
    <t>RTI</t>
  </si>
  <si>
    <t>Non-RTI</t>
  </si>
  <si>
    <t>Percent of total travel time spent waiting</t>
  </si>
  <si>
    <t>2017 National Household Travel Survey data</t>
  </si>
  <si>
    <t>Percent of total travel time spent waiting after real-time information</t>
  </si>
  <si>
    <t>Watkins et al .,Where Is My Bus? Impact of mobile real-time information on the perceived and actual wait time of transit riders, Transportation Research Part A Policy and Practice 45(8) 839-848, 2011.</t>
  </si>
  <si>
    <t xml:space="preserve">Iseki et al., The Effects of Out-of-Vehicle Time on Travel Behavior: Implications for Transit Transfers. Tool Development to Evaluate the Performance of Intermodal Connectivity (EPIC) to Improve Public Transportation, 2006.  http://www.its.ucla.edu/wp-content/uploads/sites/6/2014/06/Appendix-A.pdf. </t>
  </si>
  <si>
    <t>New or Expanded Ferry Service</t>
  </si>
  <si>
    <t>WSDOT Ferries Division 2013 Origin-Destination Travel Summary Report, results for Central South Corridor (http://www.wsdot.wa.gov/Ferries/Planning/odsurvey.htm)</t>
  </si>
  <si>
    <t>Average auto occupancy for ferry riders</t>
  </si>
  <si>
    <t>Gasoline combination short haul truck</t>
  </si>
  <si>
    <t>BAT Lanes</t>
  </si>
  <si>
    <t>Gasoline combination long haul truck</t>
  </si>
  <si>
    <t>Percentage of daily transit trips that occur during peak periods</t>
  </si>
  <si>
    <t>Transit ridership/speed elasticity (peak period)</t>
  </si>
  <si>
    <t>Dowling Associates (2005), Predicting Air Quality Effects of Traffic Flow Improvements: Final Report and User Guide, NCHRP Report 535</t>
  </si>
  <si>
    <t>Average transit speed increase due to BAT lanes</t>
  </si>
  <si>
    <t xml:space="preserve">Default values for urban and suburban areas are based on recent local studies. </t>
  </si>
  <si>
    <t>New or Upgraded Bike/Pedestrian Facility (based on number of nearby residents)</t>
  </si>
  <si>
    <t>Average bicycle commute mode share</t>
  </si>
  <si>
    <t>Average pedestrian commute mode share</t>
  </si>
  <si>
    <t>Percentage of the population who are commuters</t>
  </si>
  <si>
    <t>Percentage of commuters who are potential bicyclists</t>
  </si>
  <si>
    <t>Replica data from Spring 2023, based on portion of commuters who do not already bike, walk or take transit to work (commutes &lt;6.95 mi)</t>
  </si>
  <si>
    <t>Percentage of commuters who are potential pedestrians</t>
  </si>
  <si>
    <t>Replica data from Spring 2023, based on portion of commuters who do not already bike, walk or take transit to work (commutes &lt;1.95 mi)</t>
  </si>
  <si>
    <t>Percentage of non-commute travelers who are potential bicyclists</t>
  </si>
  <si>
    <t>Replica data from Spring 2023, based on portion of travelers who do not already bike, walk or take transit trips (non-commute trips &lt;3.4 mi)</t>
  </si>
  <si>
    <t>Percentage of non-commute travelers who are potential pedestrians</t>
  </si>
  <si>
    <t>Replica data from Spring 2023, based on portion of travelers who do not already bike, walk or take transit trips (non-commute trips  &lt;1.5 mi)</t>
  </si>
  <si>
    <t>Percent of potential cyclists who would ride if there was a bike lane serving their destination</t>
  </si>
  <si>
    <t>Would bike with "Shared use path or protected bike lane"</t>
  </si>
  <si>
    <t>Would bike with "Bike lane"</t>
  </si>
  <si>
    <t>Percent of potential pedestrians who would walk if there was a sidewalk serving their destination</t>
  </si>
  <si>
    <t>Average length of pedestrian trips</t>
  </si>
  <si>
    <t>Average length of bicycle trips</t>
  </si>
  <si>
    <t>trips/day/capita</t>
  </si>
  <si>
    <t>PSRC Regional Travel Model assumption</t>
  </si>
  <si>
    <t>count</t>
  </si>
  <si>
    <t>Average light-duty vehicle commute trip occupancy</t>
  </si>
  <si>
    <t>persons/veh</t>
  </si>
  <si>
    <t>NHTS 2022 (Home-based work trip occupancy)</t>
  </si>
  <si>
    <t>Percentage of daily vehicle trips that occur during peak periods</t>
  </si>
  <si>
    <t>Percentage of peak trips traveling in the peak direction</t>
  </si>
  <si>
    <t>Average decrease in intersection delay (ATMS)</t>
  </si>
  <si>
    <t>FHWA Tool for Operations Benefit Cost Analysis (TOPS B-C) (http://www.ops.fhwa.dot.gov/plan4ops/topsbctool/index.htm) estimates 10-20% delay reductions for central control signal coordination</t>
  </si>
  <si>
    <t>hrs/day</t>
  </si>
  <si>
    <t>Roadway capacity by roadway type</t>
  </si>
  <si>
    <t>Rural Interstate</t>
  </si>
  <si>
    <t>veh/lane/hr</t>
  </si>
  <si>
    <t>Rural Principal Arterial</t>
  </si>
  <si>
    <t>Rural Minor Arterial</t>
  </si>
  <si>
    <t>Rural Major Collector</t>
  </si>
  <si>
    <t>Rural Minor Collector</t>
  </si>
  <si>
    <t>Rural Local Access</t>
  </si>
  <si>
    <t>Urban Interstate</t>
  </si>
  <si>
    <t>Urban Other Fwy/Exp</t>
  </si>
  <si>
    <t>Urban Principal Arterial</t>
  </si>
  <si>
    <t>Urban Minor Arterial</t>
  </si>
  <si>
    <t>Urban Collector</t>
  </si>
  <si>
    <t>Urban Local Access</t>
  </si>
  <si>
    <t>Level of service (LOS) by minimum volume-to-capacity ratio</t>
  </si>
  <si>
    <t>FHWA Signal Timing Manual, Table 3-2, http://ops.fhwa.dot.gov/publications/fhwahop08024/chapter3.htm</t>
  </si>
  <si>
    <t>LOS grade</t>
  </si>
  <si>
    <t>A</t>
  </si>
  <si>
    <t>Associated V/C range is 0-0.85</t>
  </si>
  <si>
    <t>B</t>
  </si>
  <si>
    <t>Associated V/C range is 0.85-0.9</t>
  </si>
  <si>
    <t>C</t>
  </si>
  <si>
    <t>Associated V/C range is 0.9-0.95</t>
  </si>
  <si>
    <t>D</t>
  </si>
  <si>
    <t>Associated V/C range is 0.95-0.975</t>
  </si>
  <si>
    <t>E</t>
  </si>
  <si>
    <t>Associated V/C range is 0.975-1</t>
  </si>
  <si>
    <t>F</t>
  </si>
  <si>
    <t>Associated V/C range is &gt;1</t>
  </si>
  <si>
    <t>Average intersection delay by level of service (LOS)</t>
  </si>
  <si>
    <t>sec/veh</t>
  </si>
  <si>
    <t>Actual delay range is ≤ 10</t>
  </si>
  <si>
    <t>Actual delay range is 10-20</t>
  </si>
  <si>
    <t>Actual delay range is 20-35</t>
  </si>
  <si>
    <t>Actual delay range is 35-55</t>
  </si>
  <si>
    <t>Actual delay range is 55-80</t>
  </si>
  <si>
    <t>Actual delay range is &gt; 80</t>
  </si>
  <si>
    <t>Truck Percentage during peak period</t>
  </si>
  <si>
    <t>VMT Elasticity by Roadway Type</t>
  </si>
  <si>
    <t>RMI Shift Tool</t>
  </si>
  <si>
    <t>1 = Interstate</t>
  </si>
  <si>
    <t>unitless</t>
  </si>
  <si>
    <t>2 = Other Freeways and Expressways</t>
  </si>
  <si>
    <t>3 = Other Principal Arterial</t>
  </si>
  <si>
    <t>4 = Minor Arterial</t>
  </si>
  <si>
    <t>5 = Major Collector</t>
  </si>
  <si>
    <t>6 = Minor Collector</t>
  </si>
  <si>
    <t>7 = Local</t>
  </si>
  <si>
    <t>TDM (Outreach Programs, Subsidized Transit, and Vanpools)</t>
  </si>
  <si>
    <t>Average commute trip length</t>
  </si>
  <si>
    <t>miles</t>
  </si>
  <si>
    <t>Vanpool occupancy</t>
  </si>
  <si>
    <t xml:space="preserve"> (ppl/van)</t>
  </si>
  <si>
    <t>Percent of people reached who shift from driving to transit, bicycling, walking, or teleworking due to outreach programs</t>
  </si>
  <si>
    <t>Washington State Commute Trip Reduction Board 2015 Report to the Legislature.</t>
  </si>
  <si>
    <t>Other</t>
  </si>
  <si>
    <t>Annualization factor</t>
  </si>
  <si>
    <t>Kilograms per short ton</t>
  </si>
  <si>
    <t>kg/ton</t>
  </si>
  <si>
    <t>Pounds per kilogram</t>
  </si>
  <si>
    <t>lbs/kg</t>
  </si>
  <si>
    <t>Notes</t>
  </si>
  <si>
    <t>PSRC 2017/2019 Regional Travel Study</t>
  </si>
  <si>
    <t>Average length for all trips by all modes of transit, including bus, train, ferry, and streetcar</t>
  </si>
  <si>
    <t>Average transit trip length (bus only)</t>
  </si>
  <si>
    <t>Average length of all trips by bus only</t>
  </si>
  <si>
    <t>people per vehicle</t>
  </si>
  <si>
    <t>(total auto trips as driver or passenger)/(total auto trips as driver only)</t>
  </si>
  <si>
    <t>Peak hours per day</t>
  </si>
  <si>
    <t>hours per day</t>
  </si>
  <si>
    <t>Using trip-based model AM and PM periods, which range from 6-9 am and 3-6 pm</t>
  </si>
  <si>
    <t>WA Department of Licensing via WA Department of Ecology</t>
  </si>
  <si>
    <t>Percent of heavy trucks out of all vehicles registered in PSRC region</t>
  </si>
  <si>
    <t>Default vehicle distribution LDV/MDV</t>
  </si>
  <si>
    <t>% LDV</t>
  </si>
  <si>
    <t>% MDV</t>
  </si>
  <si>
    <t>For trip destination purpose: going to workplace</t>
  </si>
  <si>
    <t>Average bicycle mode share for non-commute trips</t>
  </si>
  <si>
    <t>For all trip destination except going to workplace</t>
  </si>
  <si>
    <t>Average pedestrian mode share for non-commute trips</t>
  </si>
  <si>
    <t>Commuters defined as all workers except frequent telecommuters; ([number of workers in region]-[workers who telecommute 5+ times per week])/(total regional population)</t>
  </si>
  <si>
    <t>Percentage of travelers who are potential bicyclists</t>
  </si>
  <si>
    <t>PSRC default based on City of Seattle bicycle methodology as documented in the FHWA Guidebook on Methods to Estimate Non-Motorized Travel: Supporting Documentation, http://safety.fhwa.dot.gov/ped_bike/docs/guidebook2.pdf.</t>
  </si>
  <si>
    <t>Percentage of residents who at one point bicycle commuted</t>
  </si>
  <si>
    <t>Percentage of travelers who are potential pedestrians</t>
  </si>
  <si>
    <t>Excludes exercise trips</t>
  </si>
  <si>
    <t>PSRC 2014 Regional Travel Study; Data Release 3</t>
  </si>
  <si>
    <t>Percent of current nonwalk group willing to walk if there were safer walking routes (e.g. more sidewalks, protected crossings, etc.); "nonwalker" defined as someone who walks less than once per week</t>
  </si>
  <si>
    <t>Current HOV-eligible mode share along the corridor (2)</t>
  </si>
  <si>
    <t>Region-Wide Shares</t>
  </si>
  <si>
    <t>Current HOV-eligible mode share along the corridor (3+)</t>
  </si>
  <si>
    <t xml:space="preserve">Home to work trip length. </t>
  </si>
  <si>
    <t>people per van</t>
  </si>
  <si>
    <t>2022 Statistics from the WSDOT Mobility Dashboard (https://wsdot.wa.gov/about/data/multimodal-mobility-dashboard/dashboard/publictransportation/Vanpools.htm)</t>
  </si>
  <si>
    <t>Sources: http://www.wsdot.wa.gov/Transit/Rideshare/Vanpool.htm; https://www.washingtonpolicy.org/sites/default/files/CompleteVanpoolPB.pdf</t>
  </si>
  <si>
    <t>PSRC Regional Travel Model output</t>
  </si>
  <si>
    <t>Observed boardings from tranit agencies collected for PSRC travel model validation</t>
  </si>
  <si>
    <t>travel days/yr</t>
  </si>
  <si>
    <t>PSRC assumption</t>
  </si>
  <si>
    <t>PSRC Regional Travel Model assumptions</t>
  </si>
  <si>
    <t>Note:  Survey weights applied to all values unless otherwise noted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</si>
</sst>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(* #,##0.00_);_(* \(#,##0.00\);_(* &quot;-&quot;??_);_(@_)"/>
    <numFmt numFmtId="164" formatCode="0.0%"/>
    <numFmt numFmtId="165" formatCode="0.0"/>
    <numFmt numFmtId="166" formatCode="#,##0.000"/>
    <numFmt numFmtId="167" formatCode="#,##0.0"/>
    <numFmt numFmtId="168" formatCode="0.0000000"/>
    <numFmt numFmtId="169" formatCode="0.0000"/>
    <numFmt numFmtId="170" formatCode="0.00000%"/>
  </numFmts>
  <fonts count="35" x14ac:knownFonts="1">
    <font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4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Calibri"/>
      <family val="2"/>
    </font>
    <font>
      <b/>
      <sz val="12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sz val="10"/>
      <color theme="1"/>
      <name val="Calibri"/>
      <family val="2"/>
    </font>
    <font>
      <u/>
      <sz val="10"/>
      <color rgb="FF000000"/>
      <name val="Calibri"/>
      <family val="2"/>
    </font>
    <font>
      <b/>
      <sz val="10"/>
      <color rgb="FF000000"/>
      <name val="Calibri"/>
      <family val="2"/>
    </font>
    <font>
      <b/>
      <sz val="9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2"/>
      <color rgb="FFFF0000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4"/>
      <name val="Calibri"/>
      <family val="2"/>
      <scheme val="minor"/>
    </font>
    <font>
      <i/>
      <sz val="9"/>
      <color theme="8" tint="-0.499984740745262"/>
      <name val="Calibri"/>
      <family val="2"/>
      <scheme val="minor"/>
    </font>
    <font>
      <sz val="10"/>
      <color theme="0" tint="-0.249977111117893"/>
      <name val="Calibri"/>
      <family val="2"/>
      <scheme val="minor"/>
    </font>
    <font>
      <sz val="10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E26B0A"/>
        <bgColor indexed="64"/>
      </patternFill>
    </fill>
    <fill>
      <patternFill patternType="solid">
        <fgColor rgb="FF538DD5"/>
        <bgColor indexed="64"/>
      </patternFill>
    </fill>
    <fill>
      <patternFill patternType="solid">
        <fgColor rgb="FFF79F57"/>
        <bgColor indexed="64"/>
      </patternFill>
    </fill>
    <fill>
      <patternFill patternType="solid">
        <fgColor rgb="FFFFC7CE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EDEDED"/>
        <bgColor indexed="64"/>
      </patternFill>
    </fill>
    <fill>
      <patternFill patternType="solid">
        <fgColor rgb="FF9BC2E6"/>
        <bgColor indexed="64"/>
      </patternFill>
    </fill>
    <fill>
      <patternFill patternType="solid">
        <fgColor rgb="FF70AD47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E69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BFBFBF"/>
        <bgColor indexed="64"/>
      </patternFill>
    </fill>
  </fills>
  <borders count="112">
    <border>
      <left/>
      <right/>
      <top/>
      <bottom/>
      <diagonal/>
    </border>
    <border>
      <left/>
      <right style="thin">
        <color rgb="FFAEAE9D"/>
      </right>
      <top/>
      <bottom/>
      <diagonal/>
    </border>
    <border>
      <left style="thin">
        <color auto="1"/>
      </left>
      <right style="thin">
        <color theme="0" tint="-0.2499465926084170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theme="0" tint="-0.24994659260841701"/>
      </right>
      <top/>
      <bottom style="thin">
        <color rgb="FFAEAE9D"/>
      </bottom>
      <diagonal/>
    </border>
    <border>
      <left/>
      <right style="thin">
        <color rgb="FFAEAE9D"/>
      </right>
      <top/>
      <bottom style="thin">
        <color rgb="FFAEAE9D"/>
      </bottom>
      <diagonal/>
    </border>
    <border>
      <left style="thin">
        <color auto="1"/>
      </left>
      <right style="thin">
        <color theme="0" tint="-0.24994659260841701"/>
      </right>
      <top/>
      <bottom/>
      <diagonal/>
    </border>
    <border>
      <left style="thin">
        <color auto="1"/>
      </left>
      <right style="thin">
        <color theme="0" tint="-0.24994659260841701"/>
      </right>
      <top/>
      <bottom style="thin">
        <color auto="1"/>
      </bottom>
      <diagonal/>
    </border>
    <border>
      <left/>
      <right style="thin">
        <color rgb="FFAEAE9D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AEAE9D"/>
      </left>
      <right style="thin">
        <color auto="1"/>
      </right>
      <top/>
      <bottom/>
      <diagonal/>
    </border>
    <border>
      <left style="thin">
        <color auto="1"/>
      </left>
      <right style="thin">
        <color theme="0" tint="-0.24994659260841701"/>
      </right>
      <top style="thin">
        <color rgb="FFAEAE9D"/>
      </top>
      <bottom/>
      <diagonal/>
    </border>
    <border>
      <left/>
      <right style="thin">
        <color rgb="FFAEAE9D"/>
      </right>
      <top style="thin">
        <color rgb="FFAEAE9D"/>
      </top>
      <bottom/>
      <diagonal/>
    </border>
    <border>
      <left style="thin">
        <color auto="1"/>
      </left>
      <right style="thin">
        <color theme="0" tint="-0.24994659260841701"/>
      </right>
      <top style="thin">
        <color theme="0" tint="-0.24994659260841701"/>
      </top>
      <bottom style="thin">
        <color auto="1"/>
      </bottom>
      <diagonal/>
    </border>
    <border>
      <left/>
      <right style="thin">
        <color rgb="FFAEAE9D"/>
      </right>
      <top style="thin">
        <color theme="0" tint="-0.24994659260841701"/>
      </top>
      <bottom style="thin">
        <color auto="1"/>
      </bottom>
      <diagonal/>
    </border>
    <border>
      <left/>
      <right style="thin">
        <color auto="1"/>
      </right>
      <top style="thin">
        <color theme="0" tint="-0.24994659260841701"/>
      </top>
      <bottom style="thin">
        <color auto="1"/>
      </bottom>
      <diagonal/>
    </border>
    <border>
      <left/>
      <right style="thin">
        <color auto="1"/>
      </right>
      <top style="thin">
        <color rgb="FFAEAE9D"/>
      </top>
      <bottom/>
      <diagonal/>
    </border>
    <border>
      <left/>
      <right style="thin">
        <color rgb="FFAEAE9D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rgb="FFAEAE9D"/>
      </bottom>
      <diagonal/>
    </border>
    <border>
      <left style="thin">
        <color rgb="FFAEAE9D"/>
      </left>
      <right style="thin">
        <color auto="1"/>
      </right>
      <top/>
      <bottom style="thin">
        <color auto="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auto="1"/>
      </left>
      <right style="thin">
        <color theme="0" tint="-0.24994659260841701"/>
      </right>
      <top style="thin">
        <color auto="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auto="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auto="1"/>
      </right>
      <top style="thin">
        <color auto="1"/>
      </top>
      <bottom style="thin">
        <color theme="0" tint="-0.24994659260841701"/>
      </bottom>
      <diagonal/>
    </border>
    <border>
      <left style="thin">
        <color auto="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auto="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auto="1"/>
      </bottom>
      <diagonal/>
    </border>
    <border>
      <left style="thin">
        <color theme="0" tint="-0.24994659260841701"/>
      </left>
      <right style="thin">
        <color auto="1"/>
      </right>
      <top style="thin">
        <color theme="0" tint="-0.24994659260841701"/>
      </top>
      <bottom style="thin">
        <color auto="1"/>
      </bottom>
      <diagonal/>
    </border>
    <border>
      <left style="thin">
        <color auto="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auto="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auto="1"/>
      </top>
      <bottom style="thin">
        <color auto="1"/>
      </bottom>
      <diagonal/>
    </border>
    <border>
      <left style="thin">
        <color theme="0" tint="-0.2499465926084170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 style="thin">
        <color auto="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auto="1"/>
      </bottom>
      <diagonal/>
    </border>
    <border>
      <left/>
      <right style="thin">
        <color auto="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theme="0" tint="-0.24994659260841701"/>
      </right>
      <top style="thin">
        <color rgb="FFAEAE9D"/>
      </top>
      <bottom style="thin">
        <color theme="0" tint="-0.24994659260841701"/>
      </bottom>
      <diagonal/>
    </border>
    <border>
      <left/>
      <right style="thin">
        <color rgb="FFAEAE9D"/>
      </right>
      <top style="thin">
        <color rgb="FFAEAE9D"/>
      </top>
      <bottom style="thin">
        <color theme="0" tint="-0.24994659260841701"/>
      </bottom>
      <diagonal/>
    </border>
    <border>
      <left/>
      <right style="thin">
        <color rgb="FFAEAE9D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rgb="FFAEAE9D"/>
      </right>
      <top style="thin">
        <color theme="0" tint="-0.24994659260841701"/>
      </top>
      <bottom/>
      <diagonal/>
    </border>
    <border>
      <left/>
      <right style="thin">
        <color rgb="FFAEAE9D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/>
      <top style="thin">
        <color auto="1"/>
      </top>
      <bottom style="thin">
        <color theme="0" tint="-0.24994659260841701"/>
      </bottom>
      <diagonal/>
    </border>
    <border>
      <left/>
      <right style="thin">
        <color auto="1"/>
      </right>
      <top style="thin">
        <color auto="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auto="1"/>
      </left>
      <right style="thin">
        <color theme="0" tint="-0.24994659260841701"/>
      </right>
      <top style="thin">
        <color auto="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auto="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auto="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auto="1"/>
      </bottom>
      <diagonal/>
    </border>
    <border>
      <left style="thin">
        <color theme="0" tint="-0.24994659260841701"/>
      </left>
      <right style="thin">
        <color auto="1"/>
      </right>
      <top style="thin">
        <color auto="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/>
      <bottom style="thin">
        <color theme="0" tint="-0.14996795556505021"/>
      </bottom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/>
      <right/>
      <top style="thin">
        <color theme="0" tint="-0.24994659260841701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14993743705557422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3743705557422"/>
      </top>
      <bottom style="thin">
        <color theme="0" tint="-0.14996795556505021"/>
      </bottom>
      <diagonal/>
    </border>
    <border>
      <left/>
      <right/>
      <top/>
      <bottom style="thin">
        <color auto="1"/>
      </bottom>
      <diagonal/>
    </border>
    <border>
      <left style="thin">
        <color theme="0" tint="-0.24994659260841701"/>
      </left>
      <right style="thin">
        <color auto="1"/>
      </right>
      <top/>
      <bottom/>
      <diagonal/>
    </border>
    <border>
      <left style="thin">
        <color rgb="FFAEAE9D"/>
      </left>
      <right style="thin">
        <color rgb="FFAEAE9D"/>
      </right>
      <top style="thin">
        <color rgb="FFAEAE9D"/>
      </top>
      <bottom style="thin">
        <color rgb="FFAEAE9D"/>
      </bottom>
      <diagonal/>
    </border>
    <border>
      <left style="thin">
        <color rgb="FFAEAE9D"/>
      </left>
      <right style="thin">
        <color rgb="FFAEAE9D"/>
      </right>
      <top style="thin">
        <color rgb="FFAEAE9D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auto="1"/>
      </top>
      <bottom style="thin">
        <color auto="1"/>
      </bottom>
      <diagonal/>
    </border>
    <border>
      <left/>
      <right style="thin">
        <color theme="0" tint="-0.24994659260841701"/>
      </right>
      <top style="thin">
        <color auto="1"/>
      </top>
      <bottom/>
      <diagonal/>
    </border>
    <border>
      <left/>
      <right style="thin">
        <color theme="0" tint="-0.24994659260841701"/>
      </right>
      <top style="thin">
        <color auto="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rgb="FFAEAE9D"/>
      </left>
      <right style="thin">
        <color rgb="FFAEAE9D"/>
      </right>
      <top style="thin">
        <color rgb="FFAEAE9D"/>
      </top>
      <bottom/>
      <diagonal/>
    </border>
    <border>
      <left style="thin">
        <color rgb="FFAEAE9D"/>
      </left>
      <right style="thin">
        <color rgb="FFAEAE9D"/>
      </right>
      <top/>
      <bottom style="thin">
        <color rgb="FFAEAE9D"/>
      </bottom>
      <diagonal/>
    </border>
    <border>
      <left style="thin">
        <color auto="1"/>
      </left>
      <right/>
      <top style="thin">
        <color auto="1"/>
      </top>
      <bottom style="thin">
        <color theme="0" tint="-0.24994659260841701"/>
      </bottom>
      <diagonal/>
    </border>
    <border>
      <left style="thin">
        <color auto="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auto="1"/>
      </left>
      <right/>
      <top style="thin">
        <color theme="0" tint="-0.24994659260841701"/>
      </top>
      <bottom style="thin">
        <color auto="1"/>
      </bottom>
      <diagonal/>
    </border>
    <border>
      <left style="thin">
        <color auto="1"/>
      </left>
      <right/>
      <top/>
      <bottom style="thin">
        <color theme="0" tint="-0.2499465926084170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3743705557422"/>
      </bottom>
      <diagonal/>
    </border>
    <border>
      <left/>
      <right/>
      <top style="thin">
        <color theme="0" tint="-0.14996795556505021"/>
      </top>
      <bottom style="thin">
        <color theme="0" tint="-0.14993743705557422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theme="0" tint="-0.24994659260841701"/>
      </left>
      <right style="thin">
        <color rgb="FFAEAE9D"/>
      </right>
      <top style="thin">
        <color rgb="FFAEAE9D"/>
      </top>
      <bottom/>
      <diagonal/>
    </border>
    <border>
      <left style="thin">
        <color theme="0" tint="-0.24994659260841701"/>
      </left>
      <right style="thin">
        <color rgb="FFAEAE9D"/>
      </right>
      <top/>
      <bottom/>
      <diagonal/>
    </border>
    <border>
      <left style="thin">
        <color theme="0" tint="-0.24994659260841701"/>
      </left>
      <right style="thin">
        <color rgb="FFAEAE9D"/>
      </right>
      <top/>
      <bottom style="thin">
        <color auto="1"/>
      </bottom>
      <diagonal/>
    </border>
    <border>
      <left style="thin">
        <color rgb="FFAEAE9D"/>
      </left>
      <right style="thin">
        <color auto="1"/>
      </right>
      <top style="thin">
        <color rgb="FFAEAE9D"/>
      </top>
      <bottom/>
      <diagonal/>
    </border>
    <border>
      <left/>
      <right/>
      <top style="thin">
        <color theme="0" tint="-0.14993743705557422"/>
      </top>
      <bottom style="thin">
        <color theme="0" tint="-0.1499069185460982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theme="0" tint="-0.14990691854609822"/>
      </top>
      <bottom style="thin">
        <color theme="0" tint="-0.14990691854609822"/>
      </bottom>
      <diagonal/>
    </border>
    <border>
      <left/>
      <right/>
      <top style="thin">
        <color theme="0" tint="-0.14990691854609822"/>
      </top>
      <bottom style="thin">
        <color theme="0" tint="-0.14993743705557422"/>
      </bottom>
      <diagonal/>
    </border>
    <border>
      <left/>
      <right/>
      <top/>
      <bottom style="thin">
        <color theme="0" tint="-0.14990691854609822"/>
      </bottom>
      <diagonal/>
    </border>
    <border>
      <left/>
      <right/>
      <top style="thin">
        <color theme="0" tint="-0.14993743705557422"/>
      </top>
      <bottom style="thin">
        <color indexed="64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rgb="FFAEAE9D"/>
      </left>
      <right style="thin">
        <color rgb="FFAEAE9D"/>
      </right>
      <top style="thin">
        <color rgb="FFAEAE9D"/>
      </top>
      <bottom style="thin">
        <color indexed="64"/>
      </bottom>
      <diagonal/>
    </border>
    <border>
      <left style="thin">
        <color rgb="FFAEAE9D"/>
      </left>
      <right style="thin">
        <color auto="1"/>
      </right>
      <top style="thin">
        <color theme="0" tint="-0.24994659260841701"/>
      </top>
      <bottom/>
      <diagonal/>
    </border>
    <border>
      <left style="thin">
        <color rgb="FFAEAE9D"/>
      </left>
      <right style="thin">
        <color auto="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auto="1"/>
      </top>
      <bottom/>
      <diagonal/>
    </border>
    <border>
      <left style="thin">
        <color theme="0" tint="-0.24994659260841701"/>
      </left>
      <right/>
      <top/>
      <bottom/>
      <diagonal/>
    </border>
    <border>
      <left style="thin">
        <color theme="0" tint="-0.24994659260841701"/>
      </left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24994659260841701"/>
      </bottom>
      <diagonal/>
    </border>
    <border>
      <left style="thin">
        <color auto="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auto="1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theme="0" tint="-0.14993743705557422"/>
      </top>
      <bottom/>
      <diagonal/>
    </border>
  </borders>
  <cellStyleXfs count="5">
    <xf numFmtId="0" fontId="0" fillId="0" borderId="0"/>
    <xf numFmtId="9" fontId="6" fillId="0" borderId="0" applyFont="0" applyFill="0" applyBorder="0" applyAlignment="0" applyProtection="0"/>
    <xf numFmtId="0" fontId="18" fillId="11" borderId="0" applyNumberFormat="0" applyBorder="0" applyAlignment="0" applyProtection="0"/>
    <xf numFmtId="43" fontId="6" fillId="0" borderId="0" applyFont="0" applyFill="0" applyBorder="0" applyAlignment="0" applyProtection="0"/>
    <xf numFmtId="0" fontId="32" fillId="0" borderId="0" applyNumberFormat="0" applyFill="0" applyBorder="0" applyAlignment="0" applyProtection="0"/>
  </cellStyleXfs>
  <cellXfs count="563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0" fontId="4" fillId="2" borderId="0" xfId="0" applyFont="1" applyFill="1"/>
    <xf numFmtId="0" fontId="1" fillId="3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top" wrapText="1"/>
    </xf>
    <xf numFmtId="0" fontId="2" fillId="2" borderId="4" xfId="0" applyFont="1" applyFill="1" applyBorder="1" applyAlignment="1">
      <alignment horizontal="left" vertical="top" wrapText="1"/>
    </xf>
    <xf numFmtId="0" fontId="2" fillId="2" borderId="4" xfId="0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left" vertical="top" wrapText="1"/>
    </xf>
    <xf numFmtId="10" fontId="2" fillId="2" borderId="1" xfId="0" applyNumberFormat="1" applyFont="1" applyFill="1" applyBorder="1" applyAlignment="1">
      <alignment horizontal="left" vertical="top" wrapText="1"/>
    </xf>
    <xf numFmtId="0" fontId="2" fillId="2" borderId="5" xfId="0" applyFont="1" applyFill="1" applyBorder="1" applyAlignment="1">
      <alignment horizontal="right" vertical="top" wrapText="1"/>
    </xf>
    <xf numFmtId="0" fontId="2" fillId="2" borderId="7" xfId="0" applyFont="1" applyFill="1" applyBorder="1" applyAlignment="1">
      <alignment horizontal="left" vertical="top" wrapText="1"/>
    </xf>
    <xf numFmtId="0" fontId="0" fillId="4" borderId="0" xfId="0" applyFill="1"/>
    <xf numFmtId="0" fontId="0" fillId="5" borderId="0" xfId="0" applyFill="1"/>
    <xf numFmtId="0" fontId="2" fillId="2" borderId="24" xfId="0" applyFont="1" applyFill="1" applyBorder="1" applyAlignment="1">
      <alignment vertical="top" wrapText="1"/>
    </xf>
    <xf numFmtId="0" fontId="2" fillId="2" borderId="12" xfId="0" applyFont="1" applyFill="1" applyBorder="1" applyAlignment="1">
      <alignment vertical="top" wrapText="1"/>
    </xf>
    <xf numFmtId="0" fontId="2" fillId="2" borderId="33" xfId="0" applyFont="1" applyFill="1" applyBorder="1" applyAlignment="1">
      <alignment vertical="top" wrapText="1"/>
    </xf>
    <xf numFmtId="0" fontId="10" fillId="2" borderId="0" xfId="0" applyFont="1" applyFill="1"/>
    <xf numFmtId="0" fontId="2" fillId="2" borderId="0" xfId="0" applyFont="1" applyFill="1"/>
    <xf numFmtId="0" fontId="11" fillId="2" borderId="0" xfId="0" applyFont="1" applyFill="1" applyAlignment="1">
      <alignment horizontal="left"/>
    </xf>
    <xf numFmtId="0" fontId="2" fillId="2" borderId="10" xfId="0" applyFont="1" applyFill="1" applyBorder="1" applyAlignment="1">
      <alignment vertical="top" wrapText="1"/>
    </xf>
    <xf numFmtId="0" fontId="2" fillId="2" borderId="11" xfId="0" applyFont="1" applyFill="1" applyBorder="1" applyAlignment="1">
      <alignment vertical="top" wrapText="1"/>
    </xf>
    <xf numFmtId="164" fontId="2" fillId="2" borderId="11" xfId="0" applyNumberFormat="1" applyFont="1" applyFill="1" applyBorder="1" applyAlignment="1">
      <alignment horizontal="left" vertical="top" wrapText="1"/>
    </xf>
    <xf numFmtId="0" fontId="2" fillId="2" borderId="15" xfId="0" applyFont="1" applyFill="1" applyBorder="1" applyAlignment="1">
      <alignment horizontal="left" vertical="top" wrapText="1"/>
    </xf>
    <xf numFmtId="0" fontId="2" fillId="2" borderId="40" xfId="0" applyFont="1" applyFill="1" applyBorder="1" applyAlignment="1">
      <alignment horizontal="left" vertical="top" wrapText="1"/>
    </xf>
    <xf numFmtId="0" fontId="3" fillId="2" borderId="24" xfId="0" applyFont="1" applyFill="1" applyBorder="1" applyAlignment="1">
      <alignment vertical="top" wrapText="1"/>
    </xf>
    <xf numFmtId="0" fontId="3" fillId="2" borderId="41" xfId="0" applyFont="1" applyFill="1" applyBorder="1" applyAlignment="1">
      <alignment horizontal="left" vertical="top" wrapText="1"/>
    </xf>
    <xf numFmtId="0" fontId="2" fillId="2" borderId="13" xfId="0" applyFont="1" applyFill="1" applyBorder="1" applyAlignment="1">
      <alignment horizontal="left" vertical="top" wrapText="1"/>
    </xf>
    <xf numFmtId="0" fontId="2" fillId="2" borderId="41" xfId="0" applyFont="1" applyFill="1" applyBorder="1" applyAlignment="1">
      <alignment horizontal="left" vertical="top" wrapText="1"/>
    </xf>
    <xf numFmtId="10" fontId="2" fillId="2" borderId="41" xfId="0" applyNumberFormat="1" applyFont="1" applyFill="1" applyBorder="1" applyAlignment="1">
      <alignment horizontal="left" vertical="top" wrapText="1"/>
    </xf>
    <xf numFmtId="0" fontId="2" fillId="2" borderId="37" xfId="0" applyFont="1" applyFill="1" applyBorder="1" applyAlignment="1">
      <alignment vertical="top" wrapText="1"/>
    </xf>
    <xf numFmtId="0" fontId="2" fillId="2" borderId="41" xfId="0" applyFont="1" applyFill="1" applyBorder="1" applyAlignment="1">
      <alignment vertical="top" wrapText="1"/>
    </xf>
    <xf numFmtId="164" fontId="2" fillId="2" borderId="41" xfId="0" applyNumberFormat="1" applyFont="1" applyFill="1" applyBorder="1" applyAlignment="1">
      <alignment horizontal="left" vertical="top" wrapText="1"/>
    </xf>
    <xf numFmtId="0" fontId="2" fillId="2" borderId="37" xfId="0" applyFont="1" applyFill="1" applyBorder="1" applyAlignment="1">
      <alignment horizontal="left" vertical="top" wrapText="1"/>
    </xf>
    <xf numFmtId="0" fontId="2" fillId="2" borderId="13" xfId="0" applyFont="1" applyFill="1" applyBorder="1" applyAlignment="1">
      <alignment vertical="top" wrapText="1"/>
    </xf>
    <xf numFmtId="0" fontId="2" fillId="2" borderId="14" xfId="0" applyFont="1" applyFill="1" applyBorder="1" applyAlignment="1">
      <alignment horizontal="left" vertical="top" wrapText="1"/>
    </xf>
    <xf numFmtId="0" fontId="2" fillId="2" borderId="42" xfId="0" applyFont="1" applyFill="1" applyBorder="1" applyAlignment="1">
      <alignment horizontal="left" vertical="top" wrapText="1"/>
    </xf>
    <xf numFmtId="10" fontId="2" fillId="2" borderId="42" xfId="0" applyNumberFormat="1" applyFont="1" applyFill="1" applyBorder="1" applyAlignment="1">
      <alignment horizontal="left" vertical="top" wrapText="1"/>
    </xf>
    <xf numFmtId="0" fontId="2" fillId="2" borderId="28" xfId="0" applyFont="1" applyFill="1" applyBorder="1" applyAlignment="1">
      <alignment horizontal="right" vertical="top" wrapText="1"/>
    </xf>
    <xf numFmtId="0" fontId="2" fillId="2" borderId="43" xfId="0" applyFont="1" applyFill="1" applyBorder="1" applyAlignment="1">
      <alignment horizontal="left" vertical="top" wrapText="1"/>
    </xf>
    <xf numFmtId="10" fontId="2" fillId="2" borderId="43" xfId="0" applyNumberFormat="1" applyFont="1" applyFill="1" applyBorder="1" applyAlignment="1">
      <alignment horizontal="left" vertical="top" wrapText="1"/>
    </xf>
    <xf numFmtId="9" fontId="0" fillId="2" borderId="0" xfId="0" applyNumberFormat="1" applyFill="1"/>
    <xf numFmtId="0" fontId="1" fillId="3" borderId="16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left" vertical="top" wrapText="1"/>
    </xf>
    <xf numFmtId="0" fontId="2" fillId="2" borderId="20" xfId="0" applyFont="1" applyFill="1" applyBorder="1"/>
    <xf numFmtId="166" fontId="9" fillId="2" borderId="20" xfId="0" applyNumberFormat="1" applyFont="1" applyFill="1" applyBorder="1"/>
    <xf numFmtId="0" fontId="2" fillId="2" borderId="22" xfId="0" applyFont="1" applyFill="1" applyBorder="1"/>
    <xf numFmtId="0" fontId="2" fillId="2" borderId="24" xfId="0" applyFont="1" applyFill="1" applyBorder="1"/>
    <xf numFmtId="0" fontId="2" fillId="2" borderId="12" xfId="0" applyFont="1" applyFill="1" applyBorder="1"/>
    <xf numFmtId="0" fontId="2" fillId="2" borderId="26" xfId="0" applyFont="1" applyFill="1" applyBorder="1"/>
    <xf numFmtId="0" fontId="2" fillId="2" borderId="26" xfId="0" applyFont="1" applyFill="1" applyBorder="1" applyAlignment="1">
      <alignment horizontal="left"/>
    </xf>
    <xf numFmtId="166" fontId="9" fillId="2" borderId="26" xfId="0" applyNumberFormat="1" applyFont="1" applyFill="1" applyBorder="1"/>
    <xf numFmtId="0" fontId="2" fillId="2" borderId="28" xfId="0" applyFont="1" applyFill="1" applyBorder="1"/>
    <xf numFmtId="0" fontId="2" fillId="2" borderId="29" xfId="0" applyFont="1" applyFill="1" applyBorder="1"/>
    <xf numFmtId="166" fontId="9" fillId="2" borderId="29" xfId="0" applyNumberFormat="1" applyFont="1" applyFill="1" applyBorder="1"/>
    <xf numFmtId="0" fontId="13" fillId="2" borderId="2" xfId="0" applyFont="1" applyFill="1" applyBorder="1" applyAlignment="1">
      <alignment wrapText="1"/>
    </xf>
    <xf numFmtId="0" fontId="13" fillId="2" borderId="31" xfId="0" applyFont="1" applyFill="1" applyBorder="1"/>
    <xf numFmtId="0" fontId="14" fillId="2" borderId="31" xfId="0" applyFont="1" applyFill="1" applyBorder="1"/>
    <xf numFmtId="0" fontId="14" fillId="2" borderId="32" xfId="0" applyFont="1" applyFill="1" applyBorder="1"/>
    <xf numFmtId="0" fontId="12" fillId="2" borderId="0" xfId="0" applyFont="1" applyFill="1"/>
    <xf numFmtId="0" fontId="15" fillId="2" borderId="0" xfId="0" applyFont="1" applyFill="1"/>
    <xf numFmtId="0" fontId="2" fillId="2" borderId="0" xfId="0" applyFont="1" applyFill="1" applyAlignment="1">
      <alignment horizontal="left" vertical="center"/>
    </xf>
    <xf numFmtId="0" fontId="7" fillId="7" borderId="0" xfId="0" applyFont="1" applyFill="1" applyAlignment="1">
      <alignment vertical="top"/>
    </xf>
    <xf numFmtId="0" fontId="0" fillId="7" borderId="0" xfId="0" applyFill="1"/>
    <xf numFmtId="0" fontId="12" fillId="7" borderId="0" xfId="0" applyFont="1" applyFill="1"/>
    <xf numFmtId="0" fontId="0" fillId="7" borderId="0" xfId="0" applyFill="1" applyAlignment="1">
      <alignment vertical="top"/>
    </xf>
    <xf numFmtId="0" fontId="0" fillId="7" borderId="0" xfId="0" applyFill="1" applyAlignment="1">
      <alignment wrapText="1"/>
    </xf>
    <xf numFmtId="4" fontId="2" fillId="2" borderId="20" xfId="0" applyNumberFormat="1" applyFont="1" applyFill="1" applyBorder="1"/>
    <xf numFmtId="4" fontId="2" fillId="2" borderId="25" xfId="0" applyNumberFormat="1" applyFont="1" applyFill="1" applyBorder="1"/>
    <xf numFmtId="4" fontId="2" fillId="2" borderId="26" xfId="0" applyNumberFormat="1" applyFont="1" applyFill="1" applyBorder="1"/>
    <xf numFmtId="4" fontId="2" fillId="2" borderId="27" xfId="0" applyNumberFormat="1" applyFont="1" applyFill="1" applyBorder="1"/>
    <xf numFmtId="0" fontId="2" fillId="2" borderId="35" xfId="0" applyFont="1" applyFill="1" applyBorder="1"/>
    <xf numFmtId="0" fontId="2" fillId="2" borderId="36" xfId="0" applyFont="1" applyFill="1" applyBorder="1"/>
    <xf numFmtId="0" fontId="2" fillId="2" borderId="44" xfId="0" applyFont="1" applyFill="1" applyBorder="1"/>
    <xf numFmtId="4" fontId="2" fillId="2" borderId="29" xfId="0" applyNumberFormat="1" applyFont="1" applyFill="1" applyBorder="1"/>
    <xf numFmtId="4" fontId="2" fillId="2" borderId="30" xfId="0" applyNumberFormat="1" applyFont="1" applyFill="1" applyBorder="1"/>
    <xf numFmtId="0" fontId="2" fillId="2" borderId="21" xfId="0" applyFont="1" applyFill="1" applyBorder="1"/>
    <xf numFmtId="0" fontId="2" fillId="2" borderId="34" xfId="0" applyFont="1" applyFill="1" applyBorder="1"/>
    <xf numFmtId="4" fontId="2" fillId="2" borderId="22" xfId="0" applyNumberFormat="1" applyFont="1" applyFill="1" applyBorder="1"/>
    <xf numFmtId="4" fontId="2" fillId="2" borderId="23" xfId="0" applyNumberFormat="1" applyFont="1" applyFill="1" applyBorder="1"/>
    <xf numFmtId="0" fontId="2" fillId="2" borderId="6" xfId="0" applyFont="1" applyFill="1" applyBorder="1" applyAlignment="1">
      <alignment vertical="top" wrapText="1"/>
    </xf>
    <xf numFmtId="0" fontId="2" fillId="2" borderId="7" xfId="0" applyFont="1" applyFill="1" applyBorder="1" applyAlignment="1">
      <alignment vertical="top" wrapText="1"/>
    </xf>
    <xf numFmtId="0" fontId="2" fillId="2" borderId="8" xfId="0" applyFont="1" applyFill="1" applyBorder="1" applyAlignment="1">
      <alignment vertical="top" wrapText="1"/>
    </xf>
    <xf numFmtId="0" fontId="13" fillId="2" borderId="48" xfId="0" applyFont="1" applyFill="1" applyBorder="1" applyAlignment="1">
      <alignment wrapText="1"/>
    </xf>
    <xf numFmtId="0" fontId="2" fillId="2" borderId="5" xfId="0" applyFont="1" applyFill="1" applyBorder="1"/>
    <xf numFmtId="0" fontId="2" fillId="2" borderId="53" xfId="0" applyFont="1" applyFill="1" applyBorder="1"/>
    <xf numFmtId="165" fontId="2" fillId="2" borderId="53" xfId="0" applyNumberFormat="1" applyFont="1" applyFill="1" applyBorder="1" applyAlignment="1">
      <alignment horizontal="left"/>
    </xf>
    <xf numFmtId="0" fontId="2" fillId="2" borderId="51" xfId="0" applyFont="1" applyFill="1" applyBorder="1"/>
    <xf numFmtId="165" fontId="2" fillId="2" borderId="51" xfId="0" applyNumberFormat="1" applyFont="1" applyFill="1" applyBorder="1" applyAlignment="1">
      <alignment horizontal="left"/>
    </xf>
    <xf numFmtId="0" fontId="13" fillId="2" borderId="50" xfId="0" applyFont="1" applyFill="1" applyBorder="1" applyAlignment="1">
      <alignment wrapText="1"/>
    </xf>
    <xf numFmtId="0" fontId="2" fillId="2" borderId="6" xfId="0" applyFont="1" applyFill="1" applyBorder="1"/>
    <xf numFmtId="4" fontId="9" fillId="2" borderId="53" xfId="0" applyNumberFormat="1" applyFont="1" applyFill="1" applyBorder="1"/>
    <xf numFmtId="4" fontId="9" fillId="2" borderId="51" xfId="0" applyNumberFormat="1" applyFont="1" applyFill="1" applyBorder="1"/>
    <xf numFmtId="4" fontId="13" fillId="2" borderId="50" xfId="0" applyNumberFormat="1" applyFont="1" applyFill="1" applyBorder="1" applyAlignment="1">
      <alignment wrapText="1"/>
    </xf>
    <xf numFmtId="0" fontId="2" fillId="2" borderId="33" xfId="0" applyFont="1" applyFill="1" applyBorder="1"/>
    <xf numFmtId="0" fontId="2" fillId="2" borderId="54" xfId="0" applyFont="1" applyFill="1" applyBorder="1"/>
    <xf numFmtId="4" fontId="9" fillId="2" borderId="54" xfId="0" applyNumberFormat="1" applyFont="1" applyFill="1" applyBorder="1"/>
    <xf numFmtId="0" fontId="2" fillId="2" borderId="29" xfId="0" applyFont="1" applyFill="1" applyBorder="1" applyAlignment="1">
      <alignment horizontal="left"/>
    </xf>
    <xf numFmtId="0" fontId="2" fillId="2" borderId="20" xfId="0" applyFont="1" applyFill="1" applyBorder="1" applyAlignment="1">
      <alignment horizontal="left"/>
    </xf>
    <xf numFmtId="0" fontId="3" fillId="2" borderId="0" xfId="0" applyFont="1" applyFill="1" applyAlignment="1">
      <alignment vertical="top" wrapText="1"/>
    </xf>
    <xf numFmtId="0" fontId="2" fillId="2" borderId="0" xfId="0" applyFont="1" applyFill="1" applyAlignment="1">
      <alignment horizontal="left" vertical="top" wrapText="1"/>
    </xf>
    <xf numFmtId="0" fontId="13" fillId="2" borderId="0" xfId="0" applyFont="1" applyFill="1" applyAlignment="1">
      <alignment horizontal="center" wrapText="1"/>
    </xf>
    <xf numFmtId="0" fontId="3" fillId="7" borderId="0" xfId="0" applyFont="1" applyFill="1" applyAlignment="1">
      <alignment vertical="top" wrapText="1"/>
    </xf>
    <xf numFmtId="0" fontId="2" fillId="7" borderId="0" xfId="0" applyFont="1" applyFill="1" applyAlignment="1">
      <alignment horizontal="left" vertical="top" wrapText="1"/>
    </xf>
    <xf numFmtId="0" fontId="2" fillId="2" borderId="55" xfId="0" applyFont="1" applyFill="1" applyBorder="1" applyAlignment="1">
      <alignment vertical="top" wrapText="1"/>
    </xf>
    <xf numFmtId="0" fontId="2" fillId="2" borderId="0" xfId="0" applyFont="1" applyFill="1" applyAlignment="1">
      <alignment vertical="top" wrapText="1"/>
    </xf>
    <xf numFmtId="1" fontId="2" fillId="8" borderId="56" xfId="0" applyNumberFormat="1" applyFont="1" applyFill="1" applyBorder="1" applyAlignment="1">
      <alignment horizontal="right" vertical="center" wrapText="1"/>
    </xf>
    <xf numFmtId="4" fontId="2" fillId="9" borderId="55" xfId="0" applyNumberFormat="1" applyFont="1" applyFill="1" applyBorder="1" applyAlignment="1">
      <alignment horizontal="right" vertical="center" wrapText="1"/>
    </xf>
    <xf numFmtId="2" fontId="2" fillId="9" borderId="55" xfId="0" applyNumberFormat="1" applyFont="1" applyFill="1" applyBorder="1" applyAlignment="1">
      <alignment horizontal="right" vertical="center" wrapText="1"/>
    </xf>
    <xf numFmtId="1" fontId="2" fillId="10" borderId="56" xfId="0" applyNumberFormat="1" applyFont="1" applyFill="1" applyBorder="1" applyAlignment="1">
      <alignment horizontal="center" vertical="center" wrapText="1"/>
    </xf>
    <xf numFmtId="0" fontId="2" fillId="2" borderId="47" xfId="0" applyFont="1" applyFill="1" applyBorder="1" applyAlignment="1">
      <alignment vertical="top" wrapText="1"/>
    </xf>
    <xf numFmtId="0" fontId="2" fillId="2" borderId="58" xfId="0" applyFont="1" applyFill="1" applyBorder="1" applyAlignment="1">
      <alignment vertical="top" wrapText="1"/>
    </xf>
    <xf numFmtId="166" fontId="2" fillId="9" borderId="55" xfId="0" applyNumberFormat="1" applyFont="1" applyFill="1" applyBorder="1" applyAlignment="1">
      <alignment horizontal="right" vertical="center" wrapText="1"/>
    </xf>
    <xf numFmtId="3" fontId="2" fillId="8" borderId="56" xfId="0" applyNumberFormat="1" applyFont="1" applyFill="1" applyBorder="1" applyAlignment="1">
      <alignment horizontal="right" vertical="center" wrapText="1"/>
    </xf>
    <xf numFmtId="0" fontId="13" fillId="7" borderId="0" xfId="0" applyFont="1" applyFill="1" applyAlignment="1">
      <alignment horizontal="center" wrapText="1"/>
    </xf>
    <xf numFmtId="0" fontId="2" fillId="7" borderId="0" xfId="0" applyFont="1" applyFill="1" applyAlignment="1">
      <alignment horizontal="left" vertical="center"/>
    </xf>
    <xf numFmtId="1" fontId="2" fillId="7" borderId="0" xfId="0" applyNumberFormat="1" applyFont="1" applyFill="1" applyAlignment="1">
      <alignment horizontal="right" vertical="center" wrapText="1"/>
    </xf>
    <xf numFmtId="165" fontId="2" fillId="7" borderId="0" xfId="0" applyNumberFormat="1" applyFont="1" applyFill="1" applyAlignment="1">
      <alignment horizontal="right" vertical="center" wrapText="1"/>
    </xf>
    <xf numFmtId="10" fontId="2" fillId="7" borderId="0" xfId="1" applyNumberFormat="1" applyFont="1" applyFill="1" applyBorder="1" applyAlignment="1">
      <alignment horizontal="right" vertical="center" wrapText="1"/>
    </xf>
    <xf numFmtId="2" fontId="2" fillId="7" borderId="0" xfId="0" applyNumberFormat="1" applyFont="1" applyFill="1" applyAlignment="1">
      <alignment horizontal="right" vertical="center" wrapText="1"/>
    </xf>
    <xf numFmtId="166" fontId="2" fillId="7" borderId="0" xfId="0" applyNumberFormat="1" applyFont="1" applyFill="1" applyAlignment="1">
      <alignment horizontal="right" vertical="center" wrapText="1"/>
    </xf>
    <xf numFmtId="3" fontId="2" fillId="7" borderId="0" xfId="0" applyNumberFormat="1" applyFont="1" applyFill="1" applyAlignment="1">
      <alignment horizontal="right" vertical="center" wrapText="1"/>
    </xf>
    <xf numFmtId="3" fontId="2" fillId="7" borderId="0" xfId="0" applyNumberFormat="1" applyFont="1" applyFill="1" applyAlignment="1">
      <alignment horizontal="right" vertical="top"/>
    </xf>
    <xf numFmtId="2" fontId="2" fillId="7" borderId="0" xfId="1" applyNumberFormat="1" applyFont="1" applyFill="1" applyBorder="1" applyAlignment="1">
      <alignment horizontal="right" vertical="center" wrapText="1"/>
    </xf>
    <xf numFmtId="1" fontId="2" fillId="7" borderId="0" xfId="1" applyNumberFormat="1" applyFont="1" applyFill="1" applyBorder="1" applyAlignment="1">
      <alignment horizontal="right" vertical="center" wrapText="1"/>
    </xf>
    <xf numFmtId="3" fontId="2" fillId="7" borderId="0" xfId="1" applyNumberFormat="1" applyFont="1" applyFill="1" applyBorder="1" applyAlignment="1">
      <alignment horizontal="right" vertical="center" wrapText="1"/>
    </xf>
    <xf numFmtId="0" fontId="2" fillId="7" borderId="0" xfId="0" applyFont="1" applyFill="1" applyAlignment="1">
      <alignment vertical="top"/>
    </xf>
    <xf numFmtId="0" fontId="2" fillId="7" borderId="0" xfId="0" applyFont="1" applyFill="1"/>
    <xf numFmtId="0" fontId="2" fillId="5" borderId="0" xfId="0" applyFont="1" applyFill="1"/>
    <xf numFmtId="164" fontId="2" fillId="9" borderId="56" xfId="1" applyNumberFormat="1" applyFont="1" applyFill="1" applyBorder="1" applyAlignment="1">
      <alignment horizontal="right" vertical="center" wrapText="1"/>
    </xf>
    <xf numFmtId="4" fontId="2" fillId="6" borderId="35" xfId="0" applyNumberFormat="1" applyFont="1" applyFill="1" applyBorder="1" applyAlignment="1">
      <alignment horizontal="right" vertical="top"/>
    </xf>
    <xf numFmtId="4" fontId="2" fillId="6" borderId="59" xfId="0" applyNumberFormat="1" applyFont="1" applyFill="1" applyBorder="1" applyAlignment="1">
      <alignment horizontal="right" vertical="top"/>
    </xf>
    <xf numFmtId="0" fontId="2" fillId="7" borderId="0" xfId="0" applyFont="1" applyFill="1" applyAlignment="1">
      <alignment horizontal="right"/>
    </xf>
    <xf numFmtId="1" fontId="2" fillId="7" borderId="0" xfId="0" applyNumberFormat="1" applyFont="1" applyFill="1" applyAlignment="1">
      <alignment horizontal="right"/>
    </xf>
    <xf numFmtId="164" fontId="2" fillId="7" borderId="0" xfId="1" applyNumberFormat="1" applyFont="1" applyFill="1" applyAlignment="1">
      <alignment horizontal="right"/>
    </xf>
    <xf numFmtId="10" fontId="2" fillId="7" borderId="0" xfId="1" applyNumberFormat="1" applyFont="1" applyFill="1" applyAlignment="1">
      <alignment horizontal="right"/>
    </xf>
    <xf numFmtId="10" fontId="2" fillId="7" borderId="0" xfId="0" applyNumberFormat="1" applyFont="1" applyFill="1" applyAlignment="1">
      <alignment horizontal="right"/>
    </xf>
    <xf numFmtId="165" fontId="2" fillId="7" borderId="0" xfId="0" applyNumberFormat="1" applyFont="1" applyFill="1" applyAlignment="1">
      <alignment horizontal="right"/>
    </xf>
    <xf numFmtId="2" fontId="2" fillId="7" borderId="0" xfId="0" applyNumberFormat="1" applyFont="1" applyFill="1" applyAlignment="1">
      <alignment horizontal="right"/>
    </xf>
    <xf numFmtId="4" fontId="2" fillId="7" borderId="0" xfId="0" applyNumberFormat="1" applyFont="1" applyFill="1" applyAlignment="1">
      <alignment horizontal="right"/>
    </xf>
    <xf numFmtId="1" fontId="2" fillId="10" borderId="60" xfId="0" applyNumberFormat="1" applyFont="1" applyFill="1" applyBorder="1" applyAlignment="1">
      <alignment horizontal="center" vertical="center" wrapText="1"/>
    </xf>
    <xf numFmtId="165" fontId="2" fillId="9" borderId="60" xfId="0" applyNumberFormat="1" applyFont="1" applyFill="1" applyBorder="1" applyAlignment="1">
      <alignment horizontal="right" vertical="center" wrapText="1"/>
    </xf>
    <xf numFmtId="164" fontId="2" fillId="7" borderId="0" xfId="1" applyNumberFormat="1" applyFont="1" applyFill="1" applyBorder="1" applyAlignment="1">
      <alignment horizontal="right" vertical="center" wrapText="1"/>
    </xf>
    <xf numFmtId="164" fontId="2" fillId="10" borderId="57" xfId="1" applyNumberFormat="1" applyFont="1" applyFill="1" applyBorder="1" applyAlignment="1">
      <alignment horizontal="right" vertical="center" wrapText="1"/>
    </xf>
    <xf numFmtId="164" fontId="2" fillId="9" borderId="60" xfId="1" applyNumberFormat="1" applyFont="1" applyFill="1" applyBorder="1" applyAlignment="1">
      <alignment horizontal="right" vertical="center" wrapText="1"/>
    </xf>
    <xf numFmtId="165" fontId="2" fillId="10" borderId="61" xfId="0" applyNumberFormat="1" applyFont="1" applyFill="1" applyBorder="1" applyAlignment="1">
      <alignment horizontal="right" vertical="center" wrapText="1"/>
    </xf>
    <xf numFmtId="164" fontId="2" fillId="9" borderId="60" xfId="1" applyNumberFormat="1" applyFont="1" applyFill="1" applyBorder="1" applyAlignment="1">
      <alignment horizontal="right" vertical="center"/>
    </xf>
    <xf numFmtId="0" fontId="0" fillId="2" borderId="62" xfId="0" applyFill="1" applyBorder="1" applyAlignment="1">
      <alignment horizontal="left" wrapText="1"/>
    </xf>
    <xf numFmtId="0" fontId="0" fillId="2" borderId="0" xfId="0" applyFill="1" applyAlignment="1">
      <alignment horizontal="left"/>
    </xf>
    <xf numFmtId="0" fontId="0" fillId="2" borderId="62" xfId="0" applyFill="1" applyBorder="1"/>
    <xf numFmtId="0" fontId="2" fillId="2" borderId="14" xfId="0" applyFont="1" applyFill="1" applyBorder="1" applyAlignment="1">
      <alignment vertical="top" wrapText="1"/>
    </xf>
    <xf numFmtId="0" fontId="2" fillId="2" borderId="18" xfId="0" applyFont="1" applyFill="1" applyBorder="1" applyAlignment="1">
      <alignment vertical="top" wrapText="1"/>
    </xf>
    <xf numFmtId="9" fontId="2" fillId="2" borderId="11" xfId="1" applyFont="1" applyFill="1" applyBorder="1" applyAlignment="1">
      <alignment horizontal="left" vertical="top" wrapText="1"/>
    </xf>
    <xf numFmtId="1" fontId="2" fillId="9" borderId="55" xfId="0" applyNumberFormat="1" applyFont="1" applyFill="1" applyBorder="1" applyAlignment="1">
      <alignment horizontal="right" vertical="center" wrapText="1"/>
    </xf>
    <xf numFmtId="166" fontId="9" fillId="2" borderId="30" xfId="0" applyNumberFormat="1" applyFont="1" applyFill="1" applyBorder="1"/>
    <xf numFmtId="166" fontId="9" fillId="2" borderId="25" xfId="0" applyNumberFormat="1" applyFont="1" applyFill="1" applyBorder="1"/>
    <xf numFmtId="166" fontId="9" fillId="2" borderId="27" xfId="0" applyNumberFormat="1" applyFont="1" applyFill="1" applyBorder="1"/>
    <xf numFmtId="3" fontId="2" fillId="7" borderId="0" xfId="0" applyNumberFormat="1" applyFont="1" applyFill="1" applyAlignment="1">
      <alignment horizontal="right"/>
    </xf>
    <xf numFmtId="1" fontId="2" fillId="2" borderId="33" xfId="0" applyNumberFormat="1" applyFont="1" applyFill="1" applyBorder="1"/>
    <xf numFmtId="1" fontId="14" fillId="2" borderId="32" xfId="0" applyNumberFormat="1" applyFont="1" applyFill="1" applyBorder="1" applyAlignment="1">
      <alignment horizontal="center"/>
    </xf>
    <xf numFmtId="4" fontId="9" fillId="2" borderId="63" xfId="0" applyNumberFormat="1" applyFont="1" applyFill="1" applyBorder="1" applyAlignment="1">
      <alignment horizontal="center"/>
    </xf>
    <xf numFmtId="4" fontId="9" fillId="2" borderId="38" xfId="0" applyNumberFormat="1" applyFont="1" applyFill="1" applyBorder="1" applyAlignment="1">
      <alignment horizontal="center"/>
    </xf>
    <xf numFmtId="4" fontId="2" fillId="7" borderId="0" xfId="0" applyNumberFormat="1" applyFont="1" applyFill="1" applyAlignment="1">
      <alignment horizontal="right" vertical="top"/>
    </xf>
    <xf numFmtId="0" fontId="2" fillId="2" borderId="28" xfId="0" applyFont="1" applyFill="1" applyBorder="1" applyAlignment="1">
      <alignment vertical="top" wrapText="1"/>
    </xf>
    <xf numFmtId="0" fontId="0" fillId="7" borderId="0" xfId="0" applyFill="1" applyAlignment="1">
      <alignment horizontal="center"/>
    </xf>
    <xf numFmtId="0" fontId="2" fillId="7" borderId="0" xfId="0" applyFont="1" applyFill="1" applyAlignment="1">
      <alignment horizontal="center"/>
    </xf>
    <xf numFmtId="0" fontId="0" fillId="5" borderId="0" xfId="0" applyFill="1" applyAlignment="1">
      <alignment horizontal="center"/>
    </xf>
    <xf numFmtId="0" fontId="2" fillId="7" borderId="0" xfId="0" applyFont="1" applyFill="1" applyAlignment="1">
      <alignment horizontal="right" vertical="top"/>
    </xf>
    <xf numFmtId="0" fontId="13" fillId="7" borderId="0" xfId="0" applyFont="1" applyFill="1" applyAlignment="1">
      <alignment horizontal="right" wrapText="1"/>
    </xf>
    <xf numFmtId="0" fontId="2" fillId="5" borderId="0" xfId="0" applyFont="1" applyFill="1" applyAlignment="1">
      <alignment horizontal="right"/>
    </xf>
    <xf numFmtId="0" fontId="2" fillId="2" borderId="0" xfId="0" applyFont="1" applyFill="1" applyAlignment="1">
      <alignment horizontal="right"/>
    </xf>
    <xf numFmtId="0" fontId="2" fillId="2" borderId="39" xfId="0" applyFont="1" applyFill="1" applyBorder="1" applyAlignment="1">
      <alignment horizontal="left" vertical="top" wrapText="1"/>
    </xf>
    <xf numFmtId="0" fontId="0" fillId="2" borderId="0" xfId="0" applyFill="1" applyAlignment="1">
      <alignment horizontal="left" vertical="top"/>
    </xf>
    <xf numFmtId="0" fontId="3" fillId="2" borderId="24" xfId="0" applyFont="1" applyFill="1" applyBorder="1" applyAlignment="1">
      <alignment horizontal="left" vertical="top" wrapText="1"/>
    </xf>
    <xf numFmtId="0" fontId="2" fillId="2" borderId="10" xfId="0" applyFont="1" applyFill="1" applyBorder="1" applyAlignment="1">
      <alignment horizontal="left" vertical="top" wrapText="1"/>
    </xf>
    <xf numFmtId="0" fontId="2" fillId="2" borderId="11" xfId="0" applyFont="1" applyFill="1" applyBorder="1" applyAlignment="1">
      <alignment horizontal="left" vertical="top" wrapText="1"/>
    </xf>
    <xf numFmtId="0" fontId="2" fillId="2" borderId="3" xfId="0" applyFont="1" applyFill="1" applyBorder="1" applyAlignment="1">
      <alignment horizontal="left" vertical="top" wrapText="1"/>
    </xf>
    <xf numFmtId="167" fontId="9" fillId="2" borderId="29" xfId="0" applyNumberFormat="1" applyFont="1" applyFill="1" applyBorder="1"/>
    <xf numFmtId="167" fontId="9" fillId="2" borderId="30" xfId="0" applyNumberFormat="1" applyFont="1" applyFill="1" applyBorder="1"/>
    <xf numFmtId="167" fontId="9" fillId="2" borderId="20" xfId="0" applyNumberFormat="1" applyFont="1" applyFill="1" applyBorder="1"/>
    <xf numFmtId="167" fontId="9" fillId="2" borderId="25" xfId="0" applyNumberFormat="1" applyFont="1" applyFill="1" applyBorder="1"/>
    <xf numFmtId="167" fontId="9" fillId="2" borderId="26" xfId="0" applyNumberFormat="1" applyFont="1" applyFill="1" applyBorder="1"/>
    <xf numFmtId="167" fontId="9" fillId="2" borderId="27" xfId="0" applyNumberFormat="1" applyFont="1" applyFill="1" applyBorder="1"/>
    <xf numFmtId="0" fontId="0" fillId="2" borderId="0" xfId="0" applyFill="1" applyAlignment="1">
      <alignment vertical="top"/>
    </xf>
    <xf numFmtId="0" fontId="7" fillId="2" borderId="0" xfId="0" applyFont="1" applyFill="1" applyAlignment="1">
      <alignment vertical="top"/>
    </xf>
    <xf numFmtId="0" fontId="7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9" fontId="2" fillId="7" borderId="0" xfId="1" applyFont="1" applyFill="1" applyBorder="1" applyAlignment="1">
      <alignment horizontal="right" vertical="center" wrapText="1"/>
    </xf>
    <xf numFmtId="4" fontId="13" fillId="2" borderId="52" xfId="0" applyNumberFormat="1" applyFont="1" applyFill="1" applyBorder="1" applyAlignment="1">
      <alignment wrapText="1"/>
    </xf>
    <xf numFmtId="4" fontId="9" fillId="2" borderId="63" xfId="0" applyNumberFormat="1" applyFont="1" applyFill="1" applyBorder="1"/>
    <xf numFmtId="4" fontId="9" fillId="2" borderId="38" xfId="0" applyNumberFormat="1" applyFont="1" applyFill="1" applyBorder="1"/>
    <xf numFmtId="2" fontId="2" fillId="2" borderId="13" xfId="0" applyNumberFormat="1" applyFont="1" applyFill="1" applyBorder="1" applyAlignment="1">
      <alignment horizontal="left" vertical="top" wrapText="1"/>
    </xf>
    <xf numFmtId="0" fontId="16" fillId="2" borderId="0" xfId="0" applyFont="1" applyFill="1" applyAlignment="1">
      <alignment horizontal="left" vertical="center" wrapText="1"/>
    </xf>
    <xf numFmtId="0" fontId="8" fillId="2" borderId="0" xfId="0" applyFont="1" applyFill="1"/>
    <xf numFmtId="0" fontId="2" fillId="2" borderId="0" xfId="0" applyFont="1" applyFill="1" applyAlignment="1">
      <alignment wrapText="1"/>
    </xf>
    <xf numFmtId="3" fontId="12" fillId="2" borderId="0" xfId="0" applyNumberFormat="1" applyFont="1" applyFill="1"/>
    <xf numFmtId="2" fontId="2" fillId="2" borderId="0" xfId="1" applyNumberFormat="1" applyFont="1" applyFill="1" applyBorder="1" applyAlignment="1">
      <alignment horizontal="left" vertical="top" wrapText="1"/>
    </xf>
    <xf numFmtId="4" fontId="5" fillId="2" borderId="0" xfId="0" applyNumberFormat="1" applyFont="1" applyFill="1" applyAlignment="1">
      <alignment horizontal="left" vertical="top" wrapText="1"/>
    </xf>
    <xf numFmtId="0" fontId="5" fillId="2" borderId="0" xfId="0" applyFont="1" applyFill="1" applyAlignment="1">
      <alignment vertical="top" wrapText="1"/>
    </xf>
    <xf numFmtId="167" fontId="2" fillId="9" borderId="55" xfId="0" applyNumberFormat="1" applyFont="1" applyFill="1" applyBorder="1" applyAlignment="1">
      <alignment horizontal="right" vertical="center" wrapText="1"/>
    </xf>
    <xf numFmtId="0" fontId="1" fillId="3" borderId="48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left" vertical="top" wrapText="1"/>
    </xf>
    <xf numFmtId="9" fontId="2" fillId="2" borderId="0" xfId="1" applyFont="1" applyFill="1" applyBorder="1" applyAlignment="1">
      <alignment horizontal="left" vertical="top" wrapText="1"/>
    </xf>
    <xf numFmtId="0" fontId="2" fillId="2" borderId="28" xfId="0" applyFont="1" applyFill="1" applyBorder="1" applyAlignment="1">
      <alignment horizontal="left" vertical="top" wrapText="1"/>
    </xf>
    <xf numFmtId="2" fontId="2" fillId="2" borderId="11" xfId="0" applyNumberFormat="1" applyFont="1" applyFill="1" applyBorder="1" applyAlignment="1">
      <alignment horizontal="left" vertical="top" wrapText="1"/>
    </xf>
    <xf numFmtId="2" fontId="2" fillId="2" borderId="41" xfId="0" applyNumberFormat="1" applyFont="1" applyFill="1" applyBorder="1" applyAlignment="1">
      <alignment horizontal="left" vertical="top" wrapText="1"/>
    </xf>
    <xf numFmtId="2" fontId="2" fillId="2" borderId="40" xfId="0" applyNumberFormat="1" applyFont="1" applyFill="1" applyBorder="1" applyAlignment="1">
      <alignment horizontal="left" vertical="top" wrapText="1"/>
    </xf>
    <xf numFmtId="164" fontId="2" fillId="2" borderId="11" xfId="1" applyNumberFormat="1" applyFont="1" applyFill="1" applyBorder="1" applyAlignment="1">
      <alignment horizontal="left" vertical="top" wrapText="1"/>
    </xf>
    <xf numFmtId="10" fontId="2" fillId="2" borderId="11" xfId="1" applyNumberFormat="1" applyFont="1" applyFill="1" applyBorder="1" applyAlignment="1">
      <alignment horizontal="left" vertical="top" wrapText="1"/>
    </xf>
    <xf numFmtId="4" fontId="2" fillId="2" borderId="11" xfId="2" applyNumberFormat="1" applyFont="1" applyFill="1" applyBorder="1" applyAlignment="1">
      <alignment horizontal="left" vertical="top" wrapText="1"/>
    </xf>
    <xf numFmtId="4" fontId="2" fillId="2" borderId="11" xfId="0" applyNumberFormat="1" applyFont="1" applyFill="1" applyBorder="1" applyAlignment="1">
      <alignment horizontal="left" vertical="top" wrapText="1"/>
    </xf>
    <xf numFmtId="164" fontId="2" fillId="2" borderId="4" xfId="0" applyNumberFormat="1" applyFont="1" applyFill="1" applyBorder="1" applyAlignment="1">
      <alignment horizontal="left" vertical="top" wrapText="1"/>
    </xf>
    <xf numFmtId="0" fontId="19" fillId="2" borderId="64" xfId="0" applyFont="1" applyFill="1" applyBorder="1" applyAlignment="1">
      <alignment horizontal="left" vertical="top" wrapText="1"/>
    </xf>
    <xf numFmtId="0" fontId="19" fillId="2" borderId="11" xfId="0" applyFont="1" applyFill="1" applyBorder="1" applyAlignment="1">
      <alignment horizontal="left" vertical="top" wrapText="1"/>
    </xf>
    <xf numFmtId="0" fontId="19" fillId="2" borderId="65" xfId="0" applyFont="1" applyFill="1" applyBorder="1" applyAlignment="1">
      <alignment horizontal="left" vertical="top" wrapText="1"/>
    </xf>
    <xf numFmtId="165" fontId="2" fillId="2" borderId="40" xfId="2" applyNumberFormat="1" applyFont="1" applyFill="1" applyBorder="1" applyAlignment="1">
      <alignment horizontal="left" vertical="top" wrapText="1"/>
    </xf>
    <xf numFmtId="0" fontId="2" fillId="2" borderId="22" xfId="0" applyFont="1" applyFill="1" applyBorder="1" applyAlignment="1">
      <alignment horizontal="left"/>
    </xf>
    <xf numFmtId="0" fontId="1" fillId="3" borderId="66" xfId="0" applyFont="1" applyFill="1" applyBorder="1" applyAlignment="1">
      <alignment horizontal="left" wrapText="1"/>
    </xf>
    <xf numFmtId="0" fontId="1" fillId="3" borderId="31" xfId="0" applyFont="1" applyFill="1" applyBorder="1" applyAlignment="1">
      <alignment vertical="center" wrapText="1"/>
    </xf>
    <xf numFmtId="0" fontId="1" fillId="3" borderId="31" xfId="0" applyFont="1" applyFill="1" applyBorder="1" applyAlignment="1">
      <alignment horizontal="center" vertical="center" wrapText="1"/>
    </xf>
    <xf numFmtId="0" fontId="1" fillId="3" borderId="32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/>
    </xf>
    <xf numFmtId="0" fontId="1" fillId="3" borderId="67" xfId="0" applyFont="1" applyFill="1" applyBorder="1" applyAlignment="1">
      <alignment horizontal="center" vertical="center" wrapText="1"/>
    </xf>
    <xf numFmtId="0" fontId="2" fillId="2" borderId="68" xfId="0" applyFont="1" applyFill="1" applyBorder="1" applyAlignment="1">
      <alignment horizontal="center"/>
    </xf>
    <xf numFmtId="0" fontId="2" fillId="2" borderId="69" xfId="0" applyFont="1" applyFill="1" applyBorder="1" applyAlignment="1">
      <alignment horizontal="center"/>
    </xf>
    <xf numFmtId="0" fontId="2" fillId="2" borderId="49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1" fillId="2" borderId="0" xfId="0" applyFont="1" applyFill="1" applyAlignment="1">
      <alignment horizontal="center"/>
    </xf>
    <xf numFmtId="0" fontId="2" fillId="2" borderId="50" xfId="0" applyFont="1" applyFill="1" applyBorder="1"/>
    <xf numFmtId="2" fontId="2" fillId="2" borderId="43" xfId="0" applyNumberFormat="1" applyFont="1" applyFill="1" applyBorder="1" applyAlignment="1">
      <alignment horizontal="left" vertical="top" wrapText="1"/>
    </xf>
    <xf numFmtId="164" fontId="2" fillId="2" borderId="11" xfId="2" applyNumberFormat="1" applyFont="1" applyFill="1" applyBorder="1" applyAlignment="1">
      <alignment horizontal="left" vertical="top" wrapText="1"/>
    </xf>
    <xf numFmtId="165" fontId="2" fillId="2" borderId="29" xfId="0" applyNumberFormat="1" applyFont="1" applyFill="1" applyBorder="1" applyAlignment="1">
      <alignment horizontal="left"/>
    </xf>
    <xf numFmtId="4" fontId="9" fillId="2" borderId="29" xfId="0" applyNumberFormat="1" applyFont="1" applyFill="1" applyBorder="1"/>
    <xf numFmtId="4" fontId="9" fillId="2" borderId="30" xfId="0" applyNumberFormat="1" applyFont="1" applyFill="1" applyBorder="1"/>
    <xf numFmtId="0" fontId="2" fillId="2" borderId="50" xfId="0" applyFont="1" applyFill="1" applyBorder="1" applyAlignment="1">
      <alignment wrapText="1"/>
    </xf>
    <xf numFmtId="0" fontId="2" fillId="2" borderId="48" xfId="0" applyFont="1" applyFill="1" applyBorder="1"/>
    <xf numFmtId="165" fontId="2" fillId="2" borderId="50" xfId="0" applyNumberFormat="1" applyFont="1" applyFill="1" applyBorder="1" applyAlignment="1">
      <alignment horizontal="left"/>
    </xf>
    <xf numFmtId="4" fontId="9" fillId="2" borderId="50" xfId="0" applyNumberFormat="1" applyFont="1" applyFill="1" applyBorder="1"/>
    <xf numFmtId="4" fontId="9" fillId="2" borderId="52" xfId="0" applyNumberFormat="1" applyFont="1" applyFill="1" applyBorder="1"/>
    <xf numFmtId="0" fontId="1" fillId="3" borderId="2" xfId="0" applyFont="1" applyFill="1" applyBorder="1" applyAlignment="1">
      <alignment wrapText="1"/>
    </xf>
    <xf numFmtId="0" fontId="1" fillId="3" borderId="31" xfId="0" applyFont="1" applyFill="1" applyBorder="1"/>
    <xf numFmtId="0" fontId="22" fillId="3" borderId="31" xfId="0" applyFont="1" applyFill="1" applyBorder="1"/>
    <xf numFmtId="0" fontId="22" fillId="3" borderId="32" xfId="0" applyFont="1" applyFill="1" applyBorder="1"/>
    <xf numFmtId="164" fontId="2" fillId="2" borderId="0" xfId="0" applyNumberFormat="1" applyFont="1" applyFill="1"/>
    <xf numFmtId="0" fontId="2" fillId="2" borderId="5" xfId="0" applyFont="1" applyFill="1" applyBorder="1" applyAlignment="1">
      <alignment horizontal="left" vertical="top" wrapText="1"/>
    </xf>
    <xf numFmtId="164" fontId="2" fillId="2" borderId="1" xfId="0" applyNumberFormat="1" applyFont="1" applyFill="1" applyBorder="1" applyAlignment="1">
      <alignment horizontal="left" vertical="top" wrapText="1"/>
    </xf>
    <xf numFmtId="0" fontId="2" fillId="2" borderId="71" xfId="0" applyFont="1" applyFill="1" applyBorder="1" applyAlignment="1">
      <alignment vertical="top" wrapText="1"/>
    </xf>
    <xf numFmtId="0" fontId="2" fillId="2" borderId="72" xfId="0" applyFont="1" applyFill="1" applyBorder="1" applyAlignment="1">
      <alignment vertical="top" wrapText="1"/>
    </xf>
    <xf numFmtId="164" fontId="2" fillId="2" borderId="29" xfId="0" applyNumberFormat="1" applyFont="1" applyFill="1" applyBorder="1" applyAlignment="1">
      <alignment horizontal="center"/>
    </xf>
    <xf numFmtId="0" fontId="1" fillId="3" borderId="31" xfId="0" applyFont="1" applyFill="1" applyBorder="1" applyAlignment="1">
      <alignment wrapText="1"/>
    </xf>
    <xf numFmtId="0" fontId="1" fillId="3" borderId="32" xfId="0" applyFont="1" applyFill="1" applyBorder="1" applyAlignment="1">
      <alignment wrapText="1"/>
    </xf>
    <xf numFmtId="164" fontId="2" fillId="2" borderId="30" xfId="1" applyNumberFormat="1" applyFont="1" applyFill="1" applyBorder="1" applyAlignment="1">
      <alignment horizontal="center"/>
    </xf>
    <xf numFmtId="164" fontId="2" fillId="2" borderId="26" xfId="0" applyNumberFormat="1" applyFont="1" applyFill="1" applyBorder="1" applyAlignment="1">
      <alignment horizontal="center"/>
    </xf>
    <xf numFmtId="164" fontId="2" fillId="2" borderId="27" xfId="0" applyNumberFormat="1" applyFont="1" applyFill="1" applyBorder="1" applyAlignment="1">
      <alignment horizontal="center"/>
    </xf>
    <xf numFmtId="0" fontId="2" fillId="2" borderId="56" xfId="0" applyFont="1" applyFill="1" applyBorder="1" applyAlignment="1">
      <alignment vertical="top" wrapText="1"/>
    </xf>
    <xf numFmtId="0" fontId="13" fillId="7" borderId="0" xfId="0" applyFont="1" applyFill="1" applyAlignment="1">
      <alignment horizontal="left" wrapText="1"/>
    </xf>
    <xf numFmtId="0" fontId="0" fillId="7" borderId="0" xfId="0" applyFill="1" applyAlignment="1">
      <alignment horizontal="left"/>
    </xf>
    <xf numFmtId="0" fontId="0" fillId="7" borderId="0" xfId="0" applyFill="1" applyAlignment="1">
      <alignment horizontal="right"/>
    </xf>
    <xf numFmtId="0" fontId="2" fillId="7" borderId="0" xfId="0" applyFont="1" applyFill="1" applyAlignment="1">
      <alignment horizontal="right" indent="1"/>
    </xf>
    <xf numFmtId="3" fontId="2" fillId="8" borderId="55" xfId="0" applyNumberFormat="1" applyFont="1" applyFill="1" applyBorder="1" applyAlignment="1">
      <alignment horizontal="right" vertical="center" wrapText="1"/>
    </xf>
    <xf numFmtId="0" fontId="25" fillId="7" borderId="0" xfId="0" applyFont="1" applyFill="1" applyAlignment="1">
      <alignment horizontal="left" vertical="top"/>
    </xf>
    <xf numFmtId="0" fontId="26" fillId="2" borderId="0" xfId="0" applyFont="1" applyFill="1"/>
    <xf numFmtId="0" fontId="27" fillId="2" borderId="0" xfId="0" applyFont="1" applyFill="1"/>
    <xf numFmtId="0" fontId="23" fillId="2" borderId="0" xfId="0" applyFont="1" applyFill="1"/>
    <xf numFmtId="0" fontId="24" fillId="2" borderId="0" xfId="0" applyFont="1" applyFill="1"/>
    <xf numFmtId="0" fontId="28" fillId="2" borderId="0" xfId="0" applyFont="1" applyFill="1"/>
    <xf numFmtId="4" fontId="2" fillId="0" borderId="11" xfId="2" applyNumberFormat="1" applyFont="1" applyFill="1" applyBorder="1" applyAlignment="1">
      <alignment horizontal="left" vertical="top" wrapText="1"/>
    </xf>
    <xf numFmtId="0" fontId="29" fillId="2" borderId="0" xfId="0" applyFont="1" applyFill="1"/>
    <xf numFmtId="0" fontId="5" fillId="7" borderId="0" xfId="0" applyFont="1" applyFill="1"/>
    <xf numFmtId="3" fontId="2" fillId="7" borderId="0" xfId="0" applyNumberFormat="1" applyFont="1" applyFill="1" applyAlignment="1">
      <alignment horizontal="right" vertical="center"/>
    </xf>
    <xf numFmtId="0" fontId="8" fillId="2" borderId="0" xfId="0" applyFont="1" applyFill="1" applyAlignment="1">
      <alignment horizontal="left"/>
    </xf>
    <xf numFmtId="0" fontId="1" fillId="3" borderId="50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left"/>
    </xf>
    <xf numFmtId="0" fontId="27" fillId="2" borderId="0" xfId="0" applyFont="1" applyFill="1" applyAlignment="1">
      <alignment horizontal="left"/>
    </xf>
    <xf numFmtId="0" fontId="24" fillId="2" borderId="0" xfId="0" applyFont="1" applyFill="1" applyAlignment="1">
      <alignment horizontal="left"/>
    </xf>
    <xf numFmtId="0" fontId="1" fillId="3" borderId="48" xfId="0" applyFont="1" applyFill="1" applyBorder="1" applyAlignment="1">
      <alignment horizontal="left" vertical="center" wrapText="1"/>
    </xf>
    <xf numFmtId="0" fontId="1" fillId="3" borderId="67" xfId="0" applyFont="1" applyFill="1" applyBorder="1" applyAlignment="1">
      <alignment horizontal="left" vertical="center" wrapText="1"/>
    </xf>
    <xf numFmtId="0" fontId="2" fillId="2" borderId="21" xfId="0" applyFont="1" applyFill="1" applyBorder="1" applyAlignment="1">
      <alignment horizontal="left"/>
    </xf>
    <xf numFmtId="0" fontId="2" fillId="2" borderId="68" xfId="0" applyFont="1" applyFill="1" applyBorder="1" applyAlignment="1">
      <alignment horizontal="left"/>
    </xf>
    <xf numFmtId="0" fontId="2" fillId="2" borderId="24" xfId="0" applyFont="1" applyFill="1" applyBorder="1" applyAlignment="1">
      <alignment horizontal="left"/>
    </xf>
    <xf numFmtId="0" fontId="2" fillId="2" borderId="69" xfId="0" applyFont="1" applyFill="1" applyBorder="1" applyAlignment="1">
      <alignment horizontal="left"/>
    </xf>
    <xf numFmtId="0" fontId="2" fillId="2" borderId="12" xfId="0" applyFont="1" applyFill="1" applyBorder="1" applyAlignment="1">
      <alignment horizontal="left"/>
    </xf>
    <xf numFmtId="0" fontId="2" fillId="2" borderId="49" xfId="0" applyFont="1" applyFill="1" applyBorder="1" applyAlignment="1">
      <alignment horizontal="left"/>
    </xf>
    <xf numFmtId="0" fontId="2" fillId="2" borderId="28" xfId="0" applyFont="1" applyFill="1" applyBorder="1" applyAlignment="1">
      <alignment horizontal="left"/>
    </xf>
    <xf numFmtId="0" fontId="2" fillId="2" borderId="70" xfId="0" applyFont="1" applyFill="1" applyBorder="1" applyAlignment="1">
      <alignment horizontal="left"/>
    </xf>
    <xf numFmtId="0" fontId="9" fillId="2" borderId="0" xfId="0" applyFont="1" applyFill="1" applyAlignment="1">
      <alignment wrapText="1"/>
    </xf>
    <xf numFmtId="0" fontId="1" fillId="3" borderId="20" xfId="0" applyFont="1" applyFill="1" applyBorder="1" applyAlignment="1">
      <alignment horizontal="center"/>
    </xf>
    <xf numFmtId="0" fontId="1" fillId="3" borderId="25" xfId="0" applyFont="1" applyFill="1" applyBorder="1" applyAlignment="1">
      <alignment horizontal="center"/>
    </xf>
    <xf numFmtId="0" fontId="22" fillId="3" borderId="26" xfId="0" applyFont="1" applyFill="1" applyBorder="1" applyAlignment="1">
      <alignment horizontal="left" wrapText="1"/>
    </xf>
    <xf numFmtId="0" fontId="22" fillId="3" borderId="27" xfId="0" applyFont="1" applyFill="1" applyBorder="1" applyAlignment="1">
      <alignment horizontal="left" wrapText="1"/>
    </xf>
    <xf numFmtId="0" fontId="1" fillId="3" borderId="73" xfId="0" applyFont="1" applyFill="1" applyBorder="1" applyAlignment="1">
      <alignment horizontal="left" vertical="center"/>
    </xf>
    <xf numFmtId="0" fontId="1" fillId="3" borderId="74" xfId="0" applyFont="1" applyFill="1" applyBorder="1" applyAlignment="1">
      <alignment horizontal="left" vertical="center"/>
    </xf>
    <xf numFmtId="0" fontId="22" fillId="3" borderId="75" xfId="0" applyFont="1" applyFill="1" applyBorder="1" applyAlignment="1">
      <alignment horizontal="left" vertical="center" wrapText="1"/>
    </xf>
    <xf numFmtId="0" fontId="22" fillId="3" borderId="12" xfId="0" applyFont="1" applyFill="1" applyBorder="1" applyAlignment="1">
      <alignment horizontal="left" wrapText="1"/>
    </xf>
    <xf numFmtId="0" fontId="1" fillId="3" borderId="24" xfId="0" applyFont="1" applyFill="1" applyBorder="1" applyAlignment="1">
      <alignment horizontal="center"/>
    </xf>
    <xf numFmtId="4" fontId="2" fillId="7" borderId="0" xfId="1" applyNumberFormat="1" applyFont="1" applyFill="1" applyBorder="1" applyAlignment="1">
      <alignment horizontal="right" vertical="center" wrapText="1"/>
    </xf>
    <xf numFmtId="9" fontId="2" fillId="9" borderId="60" xfId="1" applyFont="1" applyFill="1" applyBorder="1" applyAlignment="1">
      <alignment horizontal="right" vertical="center" wrapText="1"/>
    </xf>
    <xf numFmtId="165" fontId="2" fillId="10" borderId="60" xfId="0" applyNumberFormat="1" applyFont="1" applyFill="1" applyBorder="1" applyAlignment="1">
      <alignment horizontal="center" vertical="center" wrapText="1"/>
    </xf>
    <xf numFmtId="10" fontId="2" fillId="7" borderId="0" xfId="1" applyNumberFormat="1" applyFont="1" applyFill="1"/>
    <xf numFmtId="3" fontId="2" fillId="9" borderId="55" xfId="0" applyNumberFormat="1" applyFont="1" applyFill="1" applyBorder="1" applyAlignment="1">
      <alignment horizontal="right" vertical="center" wrapText="1"/>
    </xf>
    <xf numFmtId="1" fontId="2" fillId="9" borderId="60" xfId="0" applyNumberFormat="1" applyFont="1" applyFill="1" applyBorder="1" applyAlignment="1">
      <alignment horizontal="right" vertical="center" wrapText="1"/>
    </xf>
    <xf numFmtId="168" fontId="0" fillId="2" borderId="0" xfId="0" applyNumberFormat="1" applyFill="1"/>
    <xf numFmtId="164" fontId="2" fillId="9" borderId="55" xfId="0" applyNumberFormat="1" applyFont="1" applyFill="1" applyBorder="1" applyAlignment="1">
      <alignment horizontal="right" vertical="center" wrapText="1"/>
    </xf>
    <xf numFmtId="164" fontId="2" fillId="9" borderId="55" xfId="1" applyNumberFormat="1" applyFont="1" applyFill="1" applyBorder="1" applyAlignment="1">
      <alignment horizontal="right" vertical="center" wrapText="1"/>
    </xf>
    <xf numFmtId="4" fontId="12" fillId="2" borderId="0" xfId="0" applyNumberFormat="1" applyFont="1" applyFill="1"/>
    <xf numFmtId="4" fontId="9" fillId="2" borderId="80" xfId="0" applyNumberFormat="1" applyFont="1" applyFill="1" applyBorder="1"/>
    <xf numFmtId="4" fontId="13" fillId="2" borderId="81" xfId="0" applyNumberFormat="1" applyFont="1" applyFill="1" applyBorder="1" applyAlignment="1">
      <alignment wrapText="1"/>
    </xf>
    <xf numFmtId="4" fontId="9" fillId="2" borderId="8" xfId="0" applyNumberFormat="1" applyFont="1" applyFill="1" applyBorder="1"/>
    <xf numFmtId="164" fontId="2" fillId="12" borderId="56" xfId="1" applyNumberFormat="1" applyFont="1" applyFill="1" applyBorder="1" applyAlignment="1">
      <alignment horizontal="right" vertical="center" wrapText="1"/>
    </xf>
    <xf numFmtId="2" fontId="3" fillId="2" borderId="43" xfId="0" applyNumberFormat="1" applyFont="1" applyFill="1" applyBorder="1" applyAlignment="1">
      <alignment horizontal="left" vertical="top" wrapText="1"/>
    </xf>
    <xf numFmtId="10" fontId="3" fillId="2" borderId="41" xfId="0" applyNumberFormat="1" applyFont="1" applyFill="1" applyBorder="1" applyAlignment="1">
      <alignment horizontal="left" vertical="top" wrapText="1"/>
    </xf>
    <xf numFmtId="2" fontId="3" fillId="2" borderId="41" xfId="0" applyNumberFormat="1" applyFont="1" applyFill="1" applyBorder="1" applyAlignment="1">
      <alignment horizontal="left" vertical="top" wrapText="1"/>
    </xf>
    <xf numFmtId="0" fontId="3" fillId="2" borderId="18" xfId="0" applyFont="1" applyFill="1" applyBorder="1" applyAlignment="1">
      <alignment vertical="top" wrapText="1"/>
    </xf>
    <xf numFmtId="4" fontId="3" fillId="2" borderId="41" xfId="0" applyNumberFormat="1" applyFont="1" applyFill="1" applyBorder="1" applyAlignment="1">
      <alignment horizontal="left" vertical="top" wrapText="1"/>
    </xf>
    <xf numFmtId="164" fontId="3" fillId="2" borderId="41" xfId="0" applyNumberFormat="1" applyFont="1" applyFill="1" applyBorder="1" applyAlignment="1">
      <alignment horizontal="left" vertical="top" wrapText="1"/>
    </xf>
    <xf numFmtId="2" fontId="3" fillId="2" borderId="4" xfId="0" applyNumberFormat="1" applyFont="1" applyFill="1" applyBorder="1" applyAlignment="1">
      <alignment horizontal="left" vertical="top" wrapText="1"/>
    </xf>
    <xf numFmtId="165" fontId="3" fillId="2" borderId="41" xfId="0" applyNumberFormat="1" applyFont="1" applyFill="1" applyBorder="1" applyAlignment="1">
      <alignment horizontal="left" vertical="top" wrapText="1"/>
    </xf>
    <xf numFmtId="165" fontId="3" fillId="2" borderId="13" xfId="0" applyNumberFormat="1" applyFont="1" applyFill="1" applyBorder="1" applyAlignment="1">
      <alignment horizontal="left" vertical="top" wrapText="1"/>
    </xf>
    <xf numFmtId="0" fontId="2" fillId="2" borderId="82" xfId="0" applyFont="1" applyFill="1" applyBorder="1" applyAlignment="1">
      <alignment vertical="top" wrapText="1"/>
    </xf>
    <xf numFmtId="0" fontId="2" fillId="2" borderId="83" xfId="0" applyFont="1" applyFill="1" applyBorder="1" applyAlignment="1">
      <alignment vertical="top" wrapText="1"/>
    </xf>
    <xf numFmtId="0" fontId="2" fillId="2" borderId="84" xfId="0" applyFont="1" applyFill="1" applyBorder="1" applyAlignment="1">
      <alignment horizontal="left" vertical="top" wrapText="1"/>
    </xf>
    <xf numFmtId="0" fontId="2" fillId="2" borderId="5" xfId="0" applyFont="1" applyFill="1" applyBorder="1" applyAlignment="1">
      <alignment horizontal="left" vertical="top" wrapText="1" indent="1"/>
    </xf>
    <xf numFmtId="0" fontId="2" fillId="2" borderId="6" xfId="0" applyFont="1" applyFill="1" applyBorder="1" applyAlignment="1">
      <alignment horizontal="left" vertical="top" wrapText="1" indent="1"/>
    </xf>
    <xf numFmtId="165" fontId="2" fillId="7" borderId="0" xfId="0" applyNumberFormat="1" applyFont="1" applyFill="1" applyAlignment="1">
      <alignment horizontal="left"/>
    </xf>
    <xf numFmtId="4" fontId="9" fillId="7" borderId="0" xfId="0" applyNumberFormat="1" applyFont="1" applyFill="1"/>
    <xf numFmtId="0" fontId="0" fillId="13" borderId="0" xfId="0" applyFill="1"/>
    <xf numFmtId="0" fontId="2" fillId="2" borderId="86" xfId="0" applyFont="1" applyFill="1" applyBorder="1" applyAlignment="1">
      <alignment vertical="top" wrapText="1"/>
    </xf>
    <xf numFmtId="167" fontId="2" fillId="7" borderId="0" xfId="0" applyNumberFormat="1" applyFont="1" applyFill="1" applyAlignment="1">
      <alignment horizontal="right" vertical="center" wrapText="1"/>
    </xf>
    <xf numFmtId="4" fontId="2" fillId="9" borderId="55" xfId="1" applyNumberFormat="1" applyFont="1" applyFill="1" applyBorder="1" applyAlignment="1">
      <alignment horizontal="right" vertical="center" wrapText="1"/>
    </xf>
    <xf numFmtId="1" fontId="2" fillId="12" borderId="55" xfId="1" applyNumberFormat="1" applyFont="1" applyFill="1" applyBorder="1" applyAlignment="1">
      <alignment horizontal="right" vertical="center" wrapText="1"/>
    </xf>
    <xf numFmtId="167" fontId="2" fillId="12" borderId="55" xfId="0" applyNumberFormat="1" applyFont="1" applyFill="1" applyBorder="1" applyAlignment="1">
      <alignment horizontal="right" vertical="center" wrapText="1"/>
    </xf>
    <xf numFmtId="2" fontId="2" fillId="12" borderId="57" xfId="1" applyNumberFormat="1" applyFont="1" applyFill="1" applyBorder="1" applyAlignment="1">
      <alignment horizontal="right" vertical="center" wrapText="1"/>
    </xf>
    <xf numFmtId="3" fontId="2" fillId="12" borderId="57" xfId="1" applyNumberFormat="1" applyFont="1" applyFill="1" applyBorder="1" applyAlignment="1">
      <alignment horizontal="right" vertical="center" wrapText="1"/>
    </xf>
    <xf numFmtId="9" fontId="2" fillId="2" borderId="40" xfId="1" applyFont="1" applyFill="1" applyBorder="1" applyAlignment="1">
      <alignment horizontal="left" vertical="top" wrapText="1"/>
    </xf>
    <xf numFmtId="9" fontId="3" fillId="2" borderId="11" xfId="1" applyFont="1" applyFill="1" applyBorder="1" applyAlignment="1">
      <alignment horizontal="left" vertical="top" wrapText="1"/>
    </xf>
    <xf numFmtId="1" fontId="2" fillId="8" borderId="56" xfId="0" applyNumberFormat="1" applyFont="1" applyFill="1" applyBorder="1" applyAlignment="1">
      <alignment horizontal="right" vertical="top" wrapText="1"/>
    </xf>
    <xf numFmtId="37" fontId="2" fillId="8" borderId="56" xfId="3" applyNumberFormat="1" applyFont="1" applyFill="1" applyBorder="1" applyAlignment="1">
      <alignment horizontal="right" vertical="center" wrapText="1"/>
    </xf>
    <xf numFmtId="37" fontId="2" fillId="12" borderId="57" xfId="3" applyNumberFormat="1" applyFont="1" applyFill="1" applyBorder="1" applyAlignment="1">
      <alignment horizontal="right" vertical="center" wrapText="1"/>
    </xf>
    <xf numFmtId="37" fontId="2" fillId="12" borderId="79" xfId="3" applyNumberFormat="1" applyFont="1" applyFill="1" applyBorder="1" applyAlignment="1">
      <alignment horizontal="right" vertical="center" wrapText="1"/>
    </xf>
    <xf numFmtId="3" fontId="2" fillId="12" borderId="60" xfId="3" applyNumberFormat="1" applyFont="1" applyFill="1" applyBorder="1" applyAlignment="1">
      <alignment horizontal="right" vertical="center" wrapText="1"/>
    </xf>
    <xf numFmtId="164" fontId="3" fillId="2" borderId="7" xfId="1" applyNumberFormat="1" applyFont="1" applyFill="1" applyBorder="1" applyAlignment="1">
      <alignment horizontal="left" vertical="top" wrapText="1"/>
    </xf>
    <xf numFmtId="164" fontId="3" fillId="2" borderId="7" xfId="0" applyNumberFormat="1" applyFont="1" applyFill="1" applyBorder="1" applyAlignment="1">
      <alignment horizontal="left" vertical="top" wrapText="1"/>
    </xf>
    <xf numFmtId="0" fontId="3" fillId="2" borderId="8" xfId="0" applyFont="1" applyFill="1" applyBorder="1" applyAlignment="1">
      <alignment vertical="top" wrapText="1"/>
    </xf>
    <xf numFmtId="2" fontId="2" fillId="9" borderId="57" xfId="0" applyNumberFormat="1" applyFont="1" applyFill="1" applyBorder="1" applyAlignment="1">
      <alignment horizontal="right" vertical="center" wrapText="1"/>
    </xf>
    <xf numFmtId="4" fontId="30" fillId="22" borderId="86" xfId="0" applyNumberFormat="1" applyFont="1" applyFill="1" applyBorder="1" applyAlignment="1">
      <alignment horizontal="right" vertical="top" wrapText="1"/>
    </xf>
    <xf numFmtId="4" fontId="30" fillId="22" borderId="89" xfId="0" applyNumberFormat="1" applyFont="1" applyFill="1" applyBorder="1" applyAlignment="1">
      <alignment horizontal="right" vertical="top" wrapText="1"/>
    </xf>
    <xf numFmtId="4" fontId="2" fillId="22" borderId="89" xfId="0" applyNumberFormat="1" applyFont="1" applyFill="1" applyBorder="1" applyAlignment="1">
      <alignment horizontal="right" vertical="top" wrapText="1"/>
    </xf>
    <xf numFmtId="0" fontId="3" fillId="12" borderId="89" xfId="0" applyFont="1" applyFill="1" applyBorder="1" applyAlignment="1">
      <alignment vertical="center" wrapText="1"/>
    </xf>
    <xf numFmtId="4" fontId="2" fillId="12" borderId="89" xfId="0" applyNumberFormat="1" applyFont="1" applyFill="1" applyBorder="1" applyAlignment="1">
      <alignment horizontal="right" vertical="top" wrapText="1"/>
    </xf>
    <xf numFmtId="4" fontId="30" fillId="12" borderId="89" xfId="0" applyNumberFormat="1" applyFont="1" applyFill="1" applyBorder="1" applyAlignment="1">
      <alignment horizontal="right" vertical="top" wrapText="1"/>
    </xf>
    <xf numFmtId="4" fontId="2" fillId="23" borderId="89" xfId="0" applyNumberFormat="1" applyFont="1" applyFill="1" applyBorder="1" applyAlignment="1">
      <alignment horizontal="right" vertical="top" wrapText="1"/>
    </xf>
    <xf numFmtId="4" fontId="30" fillId="23" borderId="89" xfId="0" applyNumberFormat="1" applyFont="1" applyFill="1" applyBorder="1" applyAlignment="1">
      <alignment horizontal="right" vertical="top" wrapText="1"/>
    </xf>
    <xf numFmtId="0" fontId="3" fillId="17" borderId="89" xfId="0" applyFont="1" applyFill="1" applyBorder="1" applyAlignment="1">
      <alignment vertical="center" wrapText="1"/>
    </xf>
    <xf numFmtId="4" fontId="30" fillId="17" borderId="89" xfId="0" applyNumberFormat="1" applyFont="1" applyFill="1" applyBorder="1" applyAlignment="1">
      <alignment horizontal="right" vertical="top" wrapText="1"/>
    </xf>
    <xf numFmtId="4" fontId="2" fillId="17" borderId="89" xfId="0" applyNumberFormat="1" applyFont="1" applyFill="1" applyBorder="1" applyAlignment="1">
      <alignment horizontal="right" vertical="top" wrapText="1"/>
    </xf>
    <xf numFmtId="0" fontId="3" fillId="21" borderId="89" xfId="0" applyFont="1" applyFill="1" applyBorder="1" applyAlignment="1">
      <alignment vertical="center" wrapText="1"/>
    </xf>
    <xf numFmtId="4" fontId="2" fillId="21" borderId="89" xfId="0" applyNumberFormat="1" applyFont="1" applyFill="1" applyBorder="1" applyAlignment="1">
      <alignment horizontal="right" vertical="top" wrapText="1"/>
    </xf>
    <xf numFmtId="4" fontId="30" fillId="21" borderId="89" xfId="0" applyNumberFormat="1" applyFont="1" applyFill="1" applyBorder="1" applyAlignment="1">
      <alignment horizontal="right" vertical="top" wrapText="1"/>
    </xf>
    <xf numFmtId="4" fontId="2" fillId="24" borderId="90" xfId="0" applyNumberFormat="1" applyFont="1" applyFill="1" applyBorder="1" applyAlignment="1">
      <alignment horizontal="right" vertical="top" wrapText="1"/>
    </xf>
    <xf numFmtId="0" fontId="13" fillId="2" borderId="79" xfId="0" applyFont="1" applyFill="1" applyBorder="1" applyAlignment="1">
      <alignment horizontal="center" vertical="center" wrapText="1"/>
    </xf>
    <xf numFmtId="0" fontId="2" fillId="15" borderId="87" xfId="0" applyFont="1" applyFill="1" applyBorder="1" applyAlignment="1">
      <alignment horizontal="left" vertical="top" wrapText="1"/>
    </xf>
    <xf numFmtId="0" fontId="2" fillId="19" borderId="87" xfId="0" applyFont="1" applyFill="1" applyBorder="1" applyAlignment="1">
      <alignment horizontal="left" vertical="top" wrapText="1"/>
    </xf>
    <xf numFmtId="0" fontId="33" fillId="15" borderId="87" xfId="4" applyFont="1" applyFill="1" applyBorder="1" applyAlignment="1">
      <alignment horizontal="left" vertical="top" wrapText="1"/>
    </xf>
    <xf numFmtId="0" fontId="31" fillId="15" borderId="87" xfId="0" applyFont="1" applyFill="1" applyBorder="1" applyAlignment="1">
      <alignment horizontal="left" vertical="top" wrapText="1"/>
    </xf>
    <xf numFmtId="0" fontId="13" fillId="18" borderId="87" xfId="0" applyFont="1" applyFill="1" applyBorder="1" applyAlignment="1">
      <alignment horizontal="left" vertical="top"/>
    </xf>
    <xf numFmtId="0" fontId="2" fillId="18" borderId="87" xfId="0" applyFont="1" applyFill="1" applyBorder="1" applyAlignment="1">
      <alignment horizontal="left" vertical="top" wrapText="1"/>
    </xf>
    <xf numFmtId="0" fontId="13" fillId="17" borderId="87" xfId="0" applyFont="1" applyFill="1" applyBorder="1" applyAlignment="1">
      <alignment horizontal="left" vertical="top"/>
    </xf>
    <xf numFmtId="0" fontId="13" fillId="17" borderId="87" xfId="0" applyFont="1" applyFill="1" applyBorder="1" applyAlignment="1">
      <alignment horizontal="left" vertical="top" wrapText="1"/>
    </xf>
    <xf numFmtId="0" fontId="33" fillId="17" borderId="87" xfId="4" applyFont="1" applyFill="1" applyBorder="1" applyAlignment="1">
      <alignment horizontal="left" vertical="top" wrapText="1"/>
    </xf>
    <xf numFmtId="0" fontId="13" fillId="19" borderId="87" xfId="0" applyFont="1" applyFill="1" applyBorder="1" applyAlignment="1">
      <alignment horizontal="left" vertical="top"/>
    </xf>
    <xf numFmtId="0" fontId="13" fillId="19" borderId="87" xfId="0" applyFont="1" applyFill="1" applyBorder="1" applyAlignment="1">
      <alignment horizontal="left" vertical="top" wrapText="1"/>
    </xf>
    <xf numFmtId="0" fontId="33" fillId="19" borderId="87" xfId="4" applyFont="1" applyFill="1" applyBorder="1" applyAlignment="1">
      <alignment horizontal="left" vertical="top" wrapText="1"/>
    </xf>
    <xf numFmtId="0" fontId="13" fillId="25" borderId="87" xfId="0" applyFont="1" applyFill="1" applyBorder="1" applyAlignment="1">
      <alignment horizontal="left" vertical="top"/>
    </xf>
    <xf numFmtId="0" fontId="2" fillId="20" borderId="88" xfId="0" applyFont="1" applyFill="1" applyBorder="1" applyAlignment="1">
      <alignment horizontal="left" vertical="top" wrapText="1"/>
    </xf>
    <xf numFmtId="0" fontId="33" fillId="20" borderId="88" xfId="4" applyFont="1" applyFill="1" applyBorder="1" applyAlignment="1">
      <alignment horizontal="left" vertical="top" wrapText="1"/>
    </xf>
    <xf numFmtId="0" fontId="13" fillId="15" borderId="87" xfId="0" applyFont="1" applyFill="1" applyBorder="1" applyAlignment="1">
      <alignment horizontal="left" vertical="top"/>
    </xf>
    <xf numFmtId="0" fontId="2" fillId="15" borderId="87" xfId="0" applyFont="1" applyFill="1" applyBorder="1" applyAlignment="1">
      <alignment horizontal="left" vertical="top"/>
    </xf>
    <xf numFmtId="0" fontId="13" fillId="15" borderId="87" xfId="0" applyFont="1" applyFill="1" applyBorder="1" applyAlignment="1">
      <alignment horizontal="left" vertical="top" wrapText="1"/>
    </xf>
    <xf numFmtId="0" fontId="2" fillId="18" borderId="87" xfId="0" applyFont="1" applyFill="1" applyBorder="1" applyAlignment="1">
      <alignment horizontal="left" vertical="top"/>
    </xf>
    <xf numFmtId="0" fontId="33" fillId="18" borderId="87" xfId="4" applyFont="1" applyFill="1" applyBorder="1" applyAlignment="1">
      <alignment horizontal="left" vertical="top" wrapText="1"/>
    </xf>
    <xf numFmtId="0" fontId="13" fillId="16" borderId="87" xfId="0" applyFont="1" applyFill="1" applyBorder="1" applyAlignment="1">
      <alignment horizontal="left" vertical="top"/>
    </xf>
    <xf numFmtId="0" fontId="2" fillId="16" borderId="87" xfId="0" applyFont="1" applyFill="1" applyBorder="1" applyAlignment="1">
      <alignment horizontal="left" vertical="top"/>
    </xf>
    <xf numFmtId="0" fontId="13" fillId="16" borderId="87" xfId="0" applyFont="1" applyFill="1" applyBorder="1" applyAlignment="1">
      <alignment horizontal="left" vertical="top" wrapText="1"/>
    </xf>
    <xf numFmtId="0" fontId="33" fillId="16" borderId="87" xfId="4" applyFont="1" applyFill="1" applyBorder="1" applyAlignment="1">
      <alignment horizontal="left" vertical="top" wrapText="1"/>
    </xf>
    <xf numFmtId="0" fontId="2" fillId="16" borderId="87" xfId="0" applyFont="1" applyFill="1" applyBorder="1" applyAlignment="1">
      <alignment horizontal="left" vertical="top" wrapText="1"/>
    </xf>
    <xf numFmtId="0" fontId="2" fillId="17" borderId="87" xfId="0" applyFont="1" applyFill="1" applyBorder="1" applyAlignment="1">
      <alignment horizontal="left" vertical="top"/>
    </xf>
    <xf numFmtId="0" fontId="2" fillId="17" borderId="87" xfId="0" applyFont="1" applyFill="1" applyBorder="1" applyAlignment="1">
      <alignment horizontal="left" vertical="top" wrapText="1"/>
    </xf>
    <xf numFmtId="0" fontId="2" fillId="19" borderId="87" xfId="0" applyFont="1" applyFill="1" applyBorder="1" applyAlignment="1">
      <alignment horizontal="left" vertical="top"/>
    </xf>
    <xf numFmtId="0" fontId="33" fillId="25" borderId="87" xfId="4" applyFont="1" applyFill="1" applyBorder="1" applyAlignment="1">
      <alignment horizontal="left" vertical="top" wrapText="1"/>
    </xf>
    <xf numFmtId="0" fontId="2" fillId="25" borderId="87" xfId="0" applyFont="1" applyFill="1" applyBorder="1" applyAlignment="1">
      <alignment horizontal="left" vertical="top" wrapText="1"/>
    </xf>
    <xf numFmtId="4" fontId="0" fillId="7" borderId="0" xfId="0" applyNumberFormat="1" applyFill="1"/>
    <xf numFmtId="0" fontId="34" fillId="7" borderId="0" xfId="0" applyFont="1" applyFill="1"/>
    <xf numFmtId="0" fontId="3" fillId="22" borderId="91" xfId="0" applyFont="1" applyFill="1" applyBorder="1" applyAlignment="1">
      <alignment vertical="center" wrapText="1"/>
    </xf>
    <xf numFmtId="4" fontId="2" fillId="22" borderId="91" xfId="0" applyNumberFormat="1" applyFont="1" applyFill="1" applyBorder="1" applyAlignment="1">
      <alignment horizontal="right" vertical="top" wrapText="1"/>
    </xf>
    <xf numFmtId="4" fontId="0" fillId="13" borderId="0" xfId="0" applyNumberFormat="1" applyFill="1"/>
    <xf numFmtId="0" fontId="2" fillId="0" borderId="74" xfId="0" applyFont="1" applyBorder="1" applyAlignment="1">
      <alignment horizontal="left"/>
    </xf>
    <xf numFmtId="0" fontId="2" fillId="0" borderId="75" xfId="0" applyFont="1" applyBorder="1" applyAlignment="1">
      <alignment horizontal="left"/>
    </xf>
    <xf numFmtId="1" fontId="2" fillId="7" borderId="0" xfId="0" applyNumberFormat="1" applyFont="1" applyFill="1" applyAlignment="1">
      <alignment horizontal="left" vertical="center"/>
    </xf>
    <xf numFmtId="4" fontId="2" fillId="12" borderId="56" xfId="1" applyNumberFormat="1" applyFont="1" applyFill="1" applyBorder="1" applyAlignment="1">
      <alignment horizontal="right" vertical="center" wrapText="1"/>
    </xf>
    <xf numFmtId="9" fontId="2" fillId="7" borderId="0" xfId="1" applyFont="1" applyFill="1" applyAlignment="1">
      <alignment horizontal="right"/>
    </xf>
    <xf numFmtId="2" fontId="2" fillId="12" borderId="56" xfId="1" applyNumberFormat="1" applyFont="1" applyFill="1" applyBorder="1" applyAlignment="1">
      <alignment horizontal="right" vertical="center" wrapText="1"/>
    </xf>
    <xf numFmtId="4" fontId="2" fillId="9" borderId="60" xfId="1" applyNumberFormat="1" applyFont="1" applyFill="1" applyBorder="1" applyAlignment="1">
      <alignment horizontal="right" vertical="center" wrapText="1"/>
    </xf>
    <xf numFmtId="3" fontId="2" fillId="14" borderId="60" xfId="3" applyNumberFormat="1" applyFont="1" applyFill="1" applyBorder="1" applyAlignment="1">
      <alignment horizontal="right" vertical="center" wrapText="1"/>
    </xf>
    <xf numFmtId="164" fontId="2" fillId="14" borderId="60" xfId="1" applyNumberFormat="1" applyFont="1" applyFill="1" applyBorder="1" applyAlignment="1">
      <alignment horizontal="right" vertical="center" wrapText="1"/>
    </xf>
    <xf numFmtId="3" fontId="2" fillId="7" borderId="0" xfId="0" applyNumberFormat="1" applyFont="1" applyFill="1"/>
    <xf numFmtId="167" fontId="2" fillId="7" borderId="0" xfId="0" applyNumberFormat="1" applyFont="1" applyFill="1"/>
    <xf numFmtId="4" fontId="30" fillId="26" borderId="90" xfId="0" applyNumberFormat="1" applyFont="1" applyFill="1" applyBorder="1" applyAlignment="1">
      <alignment horizontal="right" vertical="top" wrapText="1"/>
    </xf>
    <xf numFmtId="4" fontId="13" fillId="2" borderId="56" xfId="0" applyNumberFormat="1" applyFont="1" applyFill="1" applyBorder="1" applyAlignment="1">
      <alignment horizontal="right" vertical="top" wrapText="1"/>
    </xf>
    <xf numFmtId="0" fontId="13" fillId="2" borderId="92" xfId="0" applyFont="1" applyFill="1" applyBorder="1" applyAlignment="1">
      <alignment vertical="center" wrapText="1"/>
    </xf>
    <xf numFmtId="4" fontId="13" fillId="2" borderId="92" xfId="0" applyNumberFormat="1" applyFont="1" applyFill="1" applyBorder="1" applyAlignment="1">
      <alignment horizontal="right" vertical="top" wrapText="1"/>
    </xf>
    <xf numFmtId="3" fontId="0" fillId="13" borderId="0" xfId="0" applyNumberFormat="1" applyFill="1"/>
    <xf numFmtId="4" fontId="13" fillId="2" borderId="45" xfId="0" applyNumberFormat="1" applyFont="1" applyFill="1" applyBorder="1" applyAlignment="1">
      <alignment horizontal="right" vertical="top" wrapText="1"/>
    </xf>
    <xf numFmtId="169" fontId="3" fillId="2" borderId="94" xfId="0" applyNumberFormat="1" applyFont="1" applyFill="1" applyBorder="1" applyAlignment="1">
      <alignment horizontal="left" vertical="top" wrapText="1"/>
    </xf>
    <xf numFmtId="165" fontId="2" fillId="9" borderId="57" xfId="0" applyNumberFormat="1" applyFont="1" applyFill="1" applyBorder="1" applyAlignment="1">
      <alignment horizontal="right" vertical="center" wrapText="1"/>
    </xf>
    <xf numFmtId="1" fontId="2" fillId="12" borderId="56" xfId="1" applyNumberFormat="1" applyFont="1" applyFill="1" applyBorder="1" applyAlignment="1">
      <alignment horizontal="right" vertical="center" wrapText="1"/>
    </xf>
    <xf numFmtId="3" fontId="2" fillId="12" borderId="56" xfId="1" applyNumberFormat="1" applyFont="1" applyFill="1" applyBorder="1" applyAlignment="1">
      <alignment horizontal="right" vertical="center" wrapText="1"/>
    </xf>
    <xf numFmtId="10" fontId="2" fillId="9" borderId="56" xfId="1" applyNumberFormat="1" applyFont="1" applyFill="1" applyBorder="1" applyAlignment="1">
      <alignment horizontal="right" vertical="center" wrapText="1"/>
    </xf>
    <xf numFmtId="0" fontId="2" fillId="2" borderId="60" xfId="0" applyFont="1" applyFill="1" applyBorder="1" applyAlignment="1">
      <alignment vertical="top" wrapText="1"/>
    </xf>
    <xf numFmtId="0" fontId="3" fillId="2" borderId="80" xfId="0" applyFont="1" applyFill="1" applyBorder="1" applyAlignment="1">
      <alignment vertical="top" wrapText="1"/>
    </xf>
    <xf numFmtId="9" fontId="3" fillId="2" borderId="42" xfId="1" applyFont="1" applyFill="1" applyBorder="1" applyAlignment="1">
      <alignment horizontal="left" vertical="top" wrapText="1"/>
    </xf>
    <xf numFmtId="1" fontId="2" fillId="9" borderId="60" xfId="1" applyNumberFormat="1" applyFont="1" applyFill="1" applyBorder="1" applyAlignment="1">
      <alignment horizontal="right" vertical="center" wrapText="1"/>
    </xf>
    <xf numFmtId="165" fontId="2" fillId="9" borderId="55" xfId="0" applyNumberFormat="1" applyFont="1" applyFill="1" applyBorder="1" applyAlignment="1">
      <alignment horizontal="right" vertical="center" wrapText="1"/>
    </xf>
    <xf numFmtId="9" fontId="2" fillId="9" borderId="55" xfId="0" applyNumberFormat="1" applyFont="1" applyFill="1" applyBorder="1" applyAlignment="1">
      <alignment horizontal="right" vertical="center" wrapText="1"/>
    </xf>
    <xf numFmtId="3" fontId="2" fillId="12" borderId="55" xfId="0" applyNumberFormat="1" applyFont="1" applyFill="1" applyBorder="1" applyAlignment="1">
      <alignment horizontal="right" vertical="center" wrapText="1"/>
    </xf>
    <xf numFmtId="4" fontId="2" fillId="12" borderId="55" xfId="0" applyNumberFormat="1" applyFont="1" applyFill="1" applyBorder="1" applyAlignment="1">
      <alignment horizontal="right" vertical="center" wrapText="1"/>
    </xf>
    <xf numFmtId="0" fontId="2" fillId="2" borderId="39" xfId="0" applyFont="1" applyFill="1" applyBorder="1" applyAlignment="1">
      <alignment horizontal="left" vertical="top" wrapText="1" indent="1"/>
    </xf>
    <xf numFmtId="3" fontId="19" fillId="2" borderId="65" xfId="0" applyNumberFormat="1" applyFont="1" applyFill="1" applyBorder="1" applyAlignment="1">
      <alignment horizontal="left" vertical="top" wrapText="1"/>
    </xf>
    <xf numFmtId="9" fontId="3" fillId="2" borderId="41" xfId="0" applyNumberFormat="1" applyFont="1" applyFill="1" applyBorder="1" applyAlignment="1">
      <alignment horizontal="left" vertical="top" wrapText="1"/>
    </xf>
    <xf numFmtId="3" fontId="3" fillId="2" borderId="41" xfId="0" applyNumberFormat="1" applyFont="1" applyFill="1" applyBorder="1" applyAlignment="1">
      <alignment horizontal="left" vertical="top" wrapText="1"/>
    </xf>
    <xf numFmtId="167" fontId="3" fillId="2" borderId="41" xfId="0" applyNumberFormat="1" applyFont="1" applyFill="1" applyBorder="1" applyAlignment="1">
      <alignment horizontal="left" vertical="top" wrapText="1"/>
    </xf>
    <xf numFmtId="0" fontId="2" fillId="2" borderId="3" xfId="0" applyFont="1" applyFill="1" applyBorder="1" applyAlignment="1">
      <alignment horizontal="left" vertical="top" wrapText="1" indent="1"/>
    </xf>
    <xf numFmtId="167" fontId="3" fillId="2" borderId="7" xfId="0" applyNumberFormat="1" applyFont="1" applyFill="1" applyBorder="1" applyAlignment="1">
      <alignment horizontal="left" vertical="top" wrapText="1"/>
    </xf>
    <xf numFmtId="0" fontId="13" fillId="2" borderId="79" xfId="0" applyFont="1" applyFill="1" applyBorder="1" applyAlignment="1">
      <alignment horizontal="center" vertical="top" wrapText="1"/>
    </xf>
    <xf numFmtId="2" fontId="2" fillId="10" borderId="77" xfId="0" applyNumberFormat="1" applyFont="1" applyFill="1" applyBorder="1" applyAlignment="1">
      <alignment horizontal="right" vertical="center" wrapText="1"/>
    </xf>
    <xf numFmtId="1" fontId="2" fillId="2" borderId="11" xfId="1" applyNumberFormat="1" applyFont="1" applyFill="1" applyBorder="1" applyAlignment="1">
      <alignment horizontal="left" vertical="top" wrapText="1"/>
    </xf>
    <xf numFmtId="0" fontId="3" fillId="23" borderId="89" xfId="4" applyFont="1" applyFill="1" applyBorder="1" applyAlignment="1">
      <alignment vertical="top" wrapText="1"/>
    </xf>
    <xf numFmtId="0" fontId="3" fillId="22" borderId="89" xfId="4" applyFont="1" applyFill="1" applyBorder="1" applyAlignment="1">
      <alignment vertical="center" wrapText="1"/>
    </xf>
    <xf numFmtId="0" fontId="3" fillId="24" borderId="90" xfId="4" applyFont="1" applyFill="1" applyBorder="1" applyAlignment="1">
      <alignment vertical="top" wrapText="1"/>
    </xf>
    <xf numFmtId="1" fontId="2" fillId="7" borderId="0" xfId="1" applyNumberFormat="1" applyFont="1" applyFill="1" applyAlignment="1">
      <alignment horizontal="right"/>
    </xf>
    <xf numFmtId="3" fontId="2" fillId="12" borderId="0" xfId="1" applyNumberFormat="1" applyFont="1" applyFill="1" applyBorder="1" applyAlignment="1">
      <alignment horizontal="right" vertical="center" wrapText="1"/>
    </xf>
    <xf numFmtId="0" fontId="2" fillId="2" borderId="88" xfId="0" applyFont="1" applyFill="1" applyBorder="1"/>
    <xf numFmtId="0" fontId="2" fillId="2" borderId="81" xfId="0" applyFont="1" applyFill="1" applyBorder="1"/>
    <xf numFmtId="0" fontId="2" fillId="2" borderId="98" xfId="0" applyFont="1" applyFill="1" applyBorder="1"/>
    <xf numFmtId="0" fontId="2" fillId="2" borderId="80" xfId="0" applyFont="1" applyFill="1" applyBorder="1"/>
    <xf numFmtId="0" fontId="2" fillId="2" borderId="99" xfId="0" applyFont="1" applyFill="1" applyBorder="1"/>
    <xf numFmtId="0" fontId="2" fillId="2" borderId="62" xfId="0" applyFont="1" applyFill="1" applyBorder="1"/>
    <xf numFmtId="0" fontId="2" fillId="2" borderId="8" xfId="0" applyFont="1" applyFill="1" applyBorder="1"/>
    <xf numFmtId="0" fontId="2" fillId="2" borderId="73" xfId="0" applyFont="1" applyFill="1" applyBorder="1" applyAlignment="1">
      <alignment horizontal="left"/>
    </xf>
    <xf numFmtId="0" fontId="2" fillId="2" borderId="74" xfId="0" applyFont="1" applyFill="1" applyBorder="1" applyAlignment="1">
      <alignment horizontal="left"/>
    </xf>
    <xf numFmtId="0" fontId="2" fillId="2" borderId="75" xfId="0" applyFont="1" applyFill="1" applyBorder="1" applyAlignment="1">
      <alignment horizontal="left"/>
    </xf>
    <xf numFmtId="0" fontId="2" fillId="2" borderId="76" xfId="0" applyFont="1" applyFill="1" applyBorder="1" applyAlignment="1">
      <alignment horizontal="left"/>
    </xf>
    <xf numFmtId="0" fontId="1" fillId="3" borderId="50" xfId="0" applyFont="1" applyFill="1" applyBorder="1" applyAlignment="1">
      <alignment vertical="center" wrapText="1"/>
    </xf>
    <xf numFmtId="0" fontId="1" fillId="3" borderId="67" xfId="0" applyFont="1" applyFill="1" applyBorder="1" applyAlignment="1">
      <alignment horizontal="left" wrapText="1"/>
    </xf>
    <xf numFmtId="0" fontId="1" fillId="3" borderId="50" xfId="0" applyFont="1" applyFill="1" applyBorder="1" applyAlignment="1">
      <alignment horizontal="center" vertical="center" wrapText="1"/>
    </xf>
    <xf numFmtId="0" fontId="1" fillId="3" borderId="52" xfId="0" applyFont="1" applyFill="1" applyBorder="1" applyAlignment="1">
      <alignment horizontal="center" vertical="center" wrapText="1"/>
    </xf>
    <xf numFmtId="0" fontId="0" fillId="0" borderId="100" xfId="0" applyBorder="1"/>
    <xf numFmtId="0" fontId="0" fillId="0" borderId="88" xfId="0" applyBorder="1"/>
    <xf numFmtId="0" fontId="0" fillId="0" borderId="81" xfId="0" applyBorder="1"/>
    <xf numFmtId="0" fontId="0" fillId="0" borderId="101" xfId="0" applyBorder="1"/>
    <xf numFmtId="0" fontId="0" fillId="0" borderId="80" xfId="0" applyBorder="1"/>
    <xf numFmtId="0" fontId="0" fillId="0" borderId="102" xfId="0" applyBorder="1"/>
    <xf numFmtId="0" fontId="0" fillId="0" borderId="62" xfId="0" applyBorder="1"/>
    <xf numFmtId="0" fontId="0" fillId="0" borderId="8" xfId="0" applyBorder="1"/>
    <xf numFmtId="0" fontId="2" fillId="2" borderId="100" xfId="0" applyFont="1" applyFill="1" applyBorder="1"/>
    <xf numFmtId="0" fontId="2" fillId="2" borderId="101" xfId="0" applyFont="1" applyFill="1" applyBorder="1"/>
    <xf numFmtId="0" fontId="2" fillId="2" borderId="102" xfId="0" applyFont="1" applyFill="1" applyBorder="1"/>
    <xf numFmtId="4" fontId="9" fillId="2" borderId="97" xfId="0" applyNumberFormat="1" applyFont="1" applyFill="1" applyBorder="1"/>
    <xf numFmtId="4" fontId="9" fillId="2" borderId="98" xfId="0" applyNumberFormat="1" applyFont="1" applyFill="1" applyBorder="1"/>
    <xf numFmtId="4" fontId="9" fillId="2" borderId="44" xfId="0" applyNumberFormat="1" applyFont="1" applyFill="1" applyBorder="1"/>
    <xf numFmtId="4" fontId="9" fillId="2" borderId="59" xfId="0" applyNumberFormat="1" applyFont="1" applyFill="1" applyBorder="1"/>
    <xf numFmtId="4" fontId="9" fillId="2" borderId="99" xfId="0" applyNumberFormat="1" applyFont="1" applyFill="1" applyBorder="1"/>
    <xf numFmtId="4" fontId="9" fillId="2" borderId="103" xfId="0" applyNumberFormat="1" applyFont="1" applyFill="1" applyBorder="1"/>
    <xf numFmtId="4" fontId="9" fillId="2" borderId="104" xfId="0" applyNumberFormat="1" applyFont="1" applyFill="1" applyBorder="1"/>
    <xf numFmtId="4" fontId="9" fillId="2" borderId="105" xfId="0" applyNumberFormat="1" applyFont="1" applyFill="1" applyBorder="1"/>
    <xf numFmtId="167" fontId="9" fillId="2" borderId="106" xfId="0" applyNumberFormat="1" applyFont="1" applyFill="1" applyBorder="1"/>
    <xf numFmtId="167" fontId="9" fillId="2" borderId="107" xfId="0" applyNumberFormat="1" applyFont="1" applyFill="1" applyBorder="1"/>
    <xf numFmtId="167" fontId="9" fillId="2" borderId="105" xfId="0" applyNumberFormat="1" applyFont="1" applyFill="1" applyBorder="1"/>
    <xf numFmtId="166" fontId="9" fillId="2" borderId="63" xfId="0" applyNumberFormat="1" applyFont="1" applyFill="1" applyBorder="1"/>
    <xf numFmtId="166" fontId="9" fillId="2" borderId="106" xfId="0" applyNumberFormat="1" applyFont="1" applyFill="1" applyBorder="1"/>
    <xf numFmtId="166" fontId="9" fillId="2" borderId="107" xfId="0" applyNumberFormat="1" applyFont="1" applyFill="1" applyBorder="1"/>
    <xf numFmtId="166" fontId="9" fillId="2" borderId="105" xfId="0" applyNumberFormat="1" applyFont="1" applyFill="1" applyBorder="1"/>
    <xf numFmtId="0" fontId="17" fillId="3" borderId="73" xfId="0" applyFont="1" applyFill="1" applyBorder="1"/>
    <xf numFmtId="0" fontId="17" fillId="3" borderId="45" xfId="0" applyFont="1" applyFill="1" applyBorder="1"/>
    <xf numFmtId="0" fontId="17" fillId="3" borderId="46" xfId="0" applyFont="1" applyFill="1" applyBorder="1"/>
    <xf numFmtId="0" fontId="2" fillId="0" borderId="73" xfId="0" applyFont="1" applyBorder="1" applyAlignment="1">
      <alignment horizontal="left"/>
    </xf>
    <xf numFmtId="0" fontId="2" fillId="0" borderId="106" xfId="0" applyFont="1" applyBorder="1" applyAlignment="1">
      <alignment horizontal="left"/>
    </xf>
    <xf numFmtId="0" fontId="2" fillId="0" borderId="108" xfId="0" applyFont="1" applyBorder="1" applyAlignment="1">
      <alignment horizontal="left"/>
    </xf>
    <xf numFmtId="0" fontId="0" fillId="0" borderId="101" xfId="0" applyBorder="1" applyAlignment="1">
      <alignment horizontal="left"/>
    </xf>
    <xf numFmtId="0" fontId="0" fillId="0" borderId="102" xfId="0" applyBorder="1" applyAlignment="1">
      <alignment horizontal="left"/>
    </xf>
    <xf numFmtId="0" fontId="2" fillId="0" borderId="109" xfId="0" applyFont="1" applyBorder="1" applyAlignment="1">
      <alignment horizontal="left"/>
    </xf>
    <xf numFmtId="0" fontId="13" fillId="2" borderId="110" xfId="0" applyFont="1" applyFill="1" applyBorder="1"/>
    <xf numFmtId="1" fontId="14" fillId="2" borderId="2" xfId="0" applyNumberFormat="1" applyFont="1" applyFill="1" applyBorder="1" applyAlignment="1">
      <alignment horizontal="center"/>
    </xf>
    <xf numFmtId="4" fontId="9" fillId="2" borderId="104" xfId="0" applyNumberFormat="1" applyFont="1" applyFill="1" applyBorder="1" applyAlignment="1">
      <alignment horizontal="center"/>
    </xf>
    <xf numFmtId="4" fontId="9" fillId="2" borderId="105" xfId="0" applyNumberFormat="1" applyFont="1" applyFill="1" applyBorder="1" applyAlignment="1">
      <alignment horizontal="center"/>
    </xf>
    <xf numFmtId="0" fontId="2" fillId="2" borderId="59" xfId="0" applyFont="1" applyFill="1" applyBorder="1"/>
    <xf numFmtId="4" fontId="9" fillId="2" borderId="103" xfId="0" applyNumberFormat="1" applyFont="1" applyFill="1" applyBorder="1" applyAlignment="1">
      <alignment horizontal="center"/>
    </xf>
    <xf numFmtId="2" fontId="2" fillId="9" borderId="56" xfId="1" applyNumberFormat="1" applyFont="1" applyFill="1" applyBorder="1" applyAlignment="1">
      <alignment horizontal="right" vertical="center" wrapText="1"/>
    </xf>
    <xf numFmtId="164" fontId="2" fillId="0" borderId="0" xfId="1" applyNumberFormat="1" applyFont="1" applyFill="1" applyBorder="1" applyAlignment="1">
      <alignment horizontal="left" vertical="top" wrapText="1"/>
    </xf>
    <xf numFmtId="0" fontId="19" fillId="2" borderId="71" xfId="0" applyFont="1" applyFill="1" applyBorder="1" applyAlignment="1">
      <alignment horizontal="left" vertical="top" wrapText="1"/>
    </xf>
    <xf numFmtId="167" fontId="19" fillId="2" borderId="71" xfId="0" applyNumberFormat="1" applyFont="1" applyFill="1" applyBorder="1" applyAlignment="1">
      <alignment horizontal="left" vertical="top" wrapText="1"/>
    </xf>
    <xf numFmtId="9" fontId="19" fillId="2" borderId="65" xfId="1" applyFont="1" applyFill="1" applyBorder="1" applyAlignment="1">
      <alignment horizontal="left" vertical="top" wrapText="1"/>
    </xf>
    <xf numFmtId="170" fontId="0" fillId="7" borderId="0" xfId="1" applyNumberFormat="1" applyFont="1" applyFill="1"/>
    <xf numFmtId="0" fontId="0" fillId="5" borderId="0" xfId="0" applyFill="1" applyAlignment="1">
      <alignment vertical="top"/>
    </xf>
    <xf numFmtId="0" fontId="12" fillId="5" borderId="0" xfId="0" applyFont="1" applyFill="1"/>
    <xf numFmtId="10" fontId="0" fillId="7" borderId="0" xfId="1" applyNumberFormat="1" applyFont="1" applyFill="1"/>
    <xf numFmtId="10" fontId="3" fillId="0" borderId="41" xfId="0" applyNumberFormat="1" applyFont="1" applyBorder="1" applyAlignment="1">
      <alignment horizontal="left" vertical="top" wrapText="1"/>
    </xf>
    <xf numFmtId="2" fontId="2" fillId="9" borderId="55" xfId="1" applyNumberFormat="1" applyFont="1" applyFill="1" applyBorder="1" applyAlignment="1">
      <alignment horizontal="right" vertical="center" wrapText="1"/>
    </xf>
    <xf numFmtId="1" fontId="2" fillId="0" borderId="0" xfId="0" applyNumberFormat="1" applyFont="1" applyAlignment="1">
      <alignment horizontal="right" vertical="center" wrapText="1"/>
    </xf>
    <xf numFmtId="1" fontId="2" fillId="8" borderId="56" xfId="0" applyNumberFormat="1" applyFont="1" applyFill="1" applyBorder="1" applyAlignment="1" applyProtection="1">
      <alignment horizontal="right" vertical="center" wrapText="1"/>
      <protection locked="0"/>
    </xf>
    <xf numFmtId="0" fontId="2" fillId="2" borderId="0" xfId="0" applyFont="1" applyFill="1" applyAlignment="1" applyProtection="1">
      <alignment vertical="top" wrapText="1"/>
      <protection locked="0"/>
    </xf>
    <xf numFmtId="37" fontId="2" fillId="8" borderId="56" xfId="3" applyNumberFormat="1" applyFont="1" applyFill="1" applyBorder="1" applyAlignment="1" applyProtection="1">
      <alignment horizontal="right" vertical="center" wrapText="1"/>
      <protection locked="0"/>
    </xf>
    <xf numFmtId="164" fontId="2" fillId="10" borderId="57" xfId="0" applyNumberFormat="1" applyFont="1" applyFill="1" applyBorder="1" applyAlignment="1" applyProtection="1">
      <alignment horizontal="right" vertical="center" wrapText="1"/>
      <protection locked="0"/>
    </xf>
    <xf numFmtId="1" fontId="2" fillId="10" borderId="60" xfId="0" applyNumberFormat="1" applyFont="1" applyFill="1" applyBorder="1" applyAlignment="1" applyProtection="1">
      <alignment horizontal="center" vertical="center" wrapText="1"/>
      <protection locked="0"/>
    </xf>
    <xf numFmtId="165" fontId="2" fillId="10" borderId="57" xfId="0" applyNumberFormat="1" applyFont="1" applyFill="1" applyBorder="1" applyAlignment="1" applyProtection="1">
      <alignment horizontal="right" vertical="center" wrapText="1"/>
      <protection locked="0"/>
    </xf>
    <xf numFmtId="37" fontId="2" fillId="10" borderId="78" xfId="3" applyNumberFormat="1" applyFont="1" applyFill="1" applyBorder="1" applyAlignment="1" applyProtection="1">
      <alignment horizontal="right" vertical="center" wrapText="1"/>
      <protection locked="0"/>
    </xf>
    <xf numFmtId="1" fontId="2" fillId="10" borderId="79" xfId="0" applyNumberFormat="1" applyFont="1" applyFill="1" applyBorder="1" applyAlignment="1" applyProtection="1">
      <alignment horizontal="center" vertical="center" wrapText="1"/>
      <protection locked="0"/>
    </xf>
    <xf numFmtId="164" fontId="2" fillId="10" borderId="78" xfId="1" applyNumberFormat="1" applyFont="1" applyFill="1" applyBorder="1" applyAlignment="1" applyProtection="1">
      <alignment horizontal="right" vertical="center" wrapText="1"/>
      <protection locked="0"/>
    </xf>
    <xf numFmtId="39" fontId="2" fillId="10" borderId="78" xfId="3" applyNumberFormat="1" applyFont="1" applyFill="1" applyBorder="1" applyAlignment="1" applyProtection="1">
      <alignment horizontal="right" vertical="center" wrapText="1"/>
      <protection locked="0"/>
    </xf>
    <xf numFmtId="2" fontId="2" fillId="10" borderId="77" xfId="0" applyNumberFormat="1" applyFont="1" applyFill="1" applyBorder="1" applyAlignment="1" applyProtection="1">
      <alignment horizontal="right" vertical="center" wrapText="1"/>
      <protection locked="0"/>
    </xf>
    <xf numFmtId="165" fontId="2" fillId="10" borderId="60" xfId="0" applyNumberFormat="1" applyFont="1" applyFill="1" applyBorder="1" applyAlignment="1" applyProtection="1">
      <alignment horizontal="center" vertical="center" wrapText="1"/>
      <protection locked="0"/>
    </xf>
    <xf numFmtId="165" fontId="2" fillId="8" borderId="56" xfId="0" applyNumberFormat="1" applyFont="1" applyFill="1" applyBorder="1" applyAlignment="1" applyProtection="1">
      <alignment horizontal="right" vertical="center" wrapText="1"/>
      <protection locked="0"/>
    </xf>
    <xf numFmtId="3" fontId="2" fillId="8" borderId="86" xfId="0" applyNumberFormat="1" applyFont="1" applyFill="1" applyBorder="1" applyAlignment="1" applyProtection="1">
      <alignment horizontal="right" vertical="center" wrapText="1"/>
      <protection locked="0"/>
    </xf>
    <xf numFmtId="164" fontId="2" fillId="10" borderId="57" xfId="1" applyNumberFormat="1" applyFont="1" applyFill="1" applyBorder="1" applyAlignment="1" applyProtection="1">
      <alignment horizontal="right" vertical="center" wrapText="1"/>
      <protection locked="0"/>
    </xf>
    <xf numFmtId="1" fontId="2" fillId="10" borderId="56" xfId="0" applyNumberFormat="1" applyFont="1" applyFill="1" applyBorder="1" applyAlignment="1" applyProtection="1">
      <alignment horizontal="center" vertical="center" wrapText="1"/>
      <protection locked="0"/>
    </xf>
    <xf numFmtId="3" fontId="2" fillId="10" borderId="57" xfId="3" applyNumberFormat="1" applyFont="1" applyFill="1" applyBorder="1" applyAlignment="1" applyProtection="1">
      <alignment horizontal="right" vertical="center" wrapText="1"/>
      <protection locked="0"/>
    </xf>
    <xf numFmtId="167" fontId="2" fillId="10" borderId="57" xfId="3" applyNumberFormat="1" applyFont="1" applyFill="1" applyBorder="1" applyAlignment="1" applyProtection="1">
      <alignment horizontal="right" vertical="center" wrapText="1"/>
      <protection locked="0"/>
    </xf>
    <xf numFmtId="3" fontId="2" fillId="8" borderId="56" xfId="0" applyNumberFormat="1" applyFont="1" applyFill="1" applyBorder="1" applyAlignment="1" applyProtection="1">
      <alignment horizontal="right" vertical="center" wrapText="1"/>
      <protection locked="0"/>
    </xf>
    <xf numFmtId="10" fontId="2" fillId="10" borderId="56" xfId="0" applyNumberFormat="1" applyFont="1" applyFill="1" applyBorder="1" applyAlignment="1" applyProtection="1">
      <alignment horizontal="right" vertical="center" wrapText="1"/>
      <protection locked="0"/>
    </xf>
    <xf numFmtId="2" fontId="2" fillId="10" borderId="56" xfId="0" applyNumberFormat="1" applyFont="1" applyFill="1" applyBorder="1" applyAlignment="1" applyProtection="1">
      <alignment horizontal="right" vertical="center" wrapText="1"/>
      <protection locked="0"/>
    </xf>
    <xf numFmtId="164" fontId="2" fillId="10" borderId="60" xfId="1" applyNumberFormat="1" applyFont="1" applyFill="1" applyBorder="1" applyAlignment="1" applyProtection="1">
      <alignment horizontal="right" vertical="center" wrapText="1"/>
      <protection locked="0"/>
    </xf>
    <xf numFmtId="1" fontId="2" fillId="10" borderId="60" xfId="1" applyNumberFormat="1" applyFont="1" applyFill="1" applyBorder="1" applyAlignment="1" applyProtection="1">
      <alignment horizontal="right" vertical="center" wrapText="1"/>
      <protection locked="0"/>
    </xf>
    <xf numFmtId="167" fontId="2" fillId="8" borderId="56" xfId="0" applyNumberFormat="1" applyFont="1" applyFill="1" applyBorder="1" applyAlignment="1" applyProtection="1">
      <alignment horizontal="right" vertical="center" wrapText="1"/>
      <protection locked="0"/>
    </xf>
    <xf numFmtId="0" fontId="0" fillId="2" borderId="0" xfId="0" applyFill="1" applyProtection="1">
      <protection locked="0"/>
    </xf>
    <xf numFmtId="164" fontId="2" fillId="10" borderId="61" xfId="1" applyNumberFormat="1" applyFont="1" applyFill="1" applyBorder="1" applyAlignment="1" applyProtection="1">
      <alignment horizontal="right" vertical="center" wrapText="1"/>
      <protection locked="0"/>
    </xf>
    <xf numFmtId="165" fontId="2" fillId="10" borderId="61" xfId="0" applyNumberFormat="1" applyFont="1" applyFill="1" applyBorder="1" applyAlignment="1" applyProtection="1">
      <alignment horizontal="right" vertical="center" wrapText="1"/>
      <protection locked="0"/>
    </xf>
    <xf numFmtId="1" fontId="2" fillId="10" borderId="61" xfId="0" applyNumberFormat="1" applyFont="1" applyFill="1" applyBorder="1" applyAlignment="1" applyProtection="1">
      <alignment horizontal="right" vertical="center" wrapText="1"/>
      <protection locked="0"/>
    </xf>
    <xf numFmtId="1" fontId="2" fillId="0" borderId="0" xfId="0" applyNumberFormat="1" applyFont="1" applyAlignment="1" applyProtection="1">
      <alignment horizontal="center" vertical="center" wrapText="1"/>
      <protection locked="0"/>
    </xf>
    <xf numFmtId="164" fontId="2" fillId="10" borderId="60" xfId="1" applyNumberFormat="1" applyFont="1" applyFill="1" applyBorder="1" applyAlignment="1">
      <alignment horizontal="right" vertical="center" wrapText="1"/>
    </xf>
    <xf numFmtId="164" fontId="2" fillId="9" borderId="111" xfId="1" applyNumberFormat="1" applyFont="1" applyFill="1" applyBorder="1" applyAlignment="1">
      <alignment horizontal="right" vertical="center" wrapText="1"/>
    </xf>
    <xf numFmtId="165" fontId="2" fillId="2" borderId="50" xfId="0" applyNumberFormat="1" applyFont="1" applyFill="1" applyBorder="1"/>
    <xf numFmtId="165" fontId="2" fillId="2" borderId="53" xfId="0" applyNumberFormat="1" applyFont="1" applyFill="1" applyBorder="1"/>
    <xf numFmtId="165" fontId="2" fillId="2" borderId="29" xfId="0" applyNumberFormat="1" applyFont="1" applyFill="1" applyBorder="1"/>
    <xf numFmtId="165" fontId="2" fillId="2" borderId="54" xfId="0" applyNumberFormat="1" applyFont="1" applyFill="1" applyBorder="1"/>
    <xf numFmtId="165" fontId="2" fillId="2" borderId="51" xfId="0" applyNumberFormat="1" applyFont="1" applyFill="1" applyBorder="1"/>
    <xf numFmtId="0" fontId="13" fillId="2" borderId="0" xfId="0" applyFont="1" applyFill="1" applyAlignment="1">
      <alignment horizontal="center" wrapText="1"/>
    </xf>
    <xf numFmtId="0" fontId="13" fillId="2" borderId="93" xfId="0" applyFont="1" applyFill="1" applyBorder="1" applyAlignment="1">
      <alignment horizontal="right" vertical="center" wrapText="1"/>
    </xf>
    <xf numFmtId="0" fontId="13" fillId="2" borderId="45" xfId="0" applyFont="1" applyFill="1" applyBorder="1" applyAlignment="1">
      <alignment horizontal="right" vertical="center" wrapText="1"/>
    </xf>
    <xf numFmtId="0" fontId="16" fillId="6" borderId="0" xfId="0" applyFont="1" applyFill="1" applyAlignment="1">
      <alignment horizontal="left" vertical="center" wrapText="1"/>
    </xf>
    <xf numFmtId="0" fontId="15" fillId="2" borderId="0" xfId="0" applyFont="1" applyFill="1" applyAlignment="1">
      <alignment horizontal="left"/>
    </xf>
    <xf numFmtId="0" fontId="16" fillId="8" borderId="0" xfId="0" applyFont="1" applyFill="1" applyAlignment="1">
      <alignment horizontal="left" vertical="center" wrapText="1"/>
    </xf>
    <xf numFmtId="0" fontId="16" fillId="10" borderId="0" xfId="0" applyFont="1" applyFill="1" applyAlignment="1">
      <alignment horizontal="left" vertical="center" wrapText="1"/>
    </xf>
    <xf numFmtId="0" fontId="16" fillId="12" borderId="0" xfId="0" applyFont="1" applyFill="1" applyAlignment="1">
      <alignment horizontal="left" vertical="center" wrapText="1"/>
    </xf>
    <xf numFmtId="0" fontId="16" fillId="9" borderId="0" xfId="0" applyFont="1" applyFill="1" applyAlignment="1">
      <alignment horizontal="left" vertical="center" wrapText="1"/>
    </xf>
    <xf numFmtId="0" fontId="17" fillId="3" borderId="73" xfId="0" applyFont="1" applyFill="1" applyBorder="1" applyAlignment="1">
      <alignment horizontal="center"/>
    </xf>
    <xf numFmtId="0" fontId="17" fillId="3" borderId="45" xfId="0" applyFont="1" applyFill="1" applyBorder="1" applyAlignment="1">
      <alignment horizontal="center"/>
    </xf>
    <xf numFmtId="0" fontId="17" fillId="3" borderId="46" xfId="0" applyFont="1" applyFill="1" applyBorder="1" applyAlignment="1">
      <alignment horizontal="center"/>
    </xf>
    <xf numFmtId="0" fontId="2" fillId="0" borderId="95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0" fontId="2" fillId="0" borderId="96" xfId="0" applyFont="1" applyBorder="1" applyAlignment="1">
      <alignment horizontal="left" vertical="top" wrapText="1"/>
    </xf>
    <xf numFmtId="0" fontId="2" fillId="2" borderId="85" xfId="0" applyFont="1" applyFill="1" applyBorder="1" applyAlignment="1">
      <alignment horizontal="left" vertical="top" wrapText="1"/>
    </xf>
    <xf numFmtId="0" fontId="2" fillId="2" borderId="9" xfId="0" applyFont="1" applyFill="1" applyBorder="1" applyAlignment="1">
      <alignment horizontal="left" vertical="top" wrapText="1"/>
    </xf>
    <xf numFmtId="0" fontId="2" fillId="2" borderId="19" xfId="0" applyFont="1" applyFill="1" applyBorder="1" applyAlignment="1">
      <alignment horizontal="left" vertical="top" wrapText="1"/>
    </xf>
  </cellXfs>
  <cellStyles count="5">
    <cellStyle name="Bad" xfId="2" builtinId="27"/>
    <cellStyle name="Comma" xfId="3" builtinId="3"/>
    <cellStyle name="Hyperlink" xfId="4" builtinId="8"/>
    <cellStyle name="Normal" xfId="0" builtinId="0"/>
    <cellStyle name="Percent" xfId="1" builtinId="5"/>
  </cellStyles>
  <dxfs count="4"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numFmt numFmtId="171" formatCode=";;;"/>
      <fill>
        <patternFill>
          <bgColor theme="0"/>
        </patternFill>
      </fill>
    </dxf>
    <dxf>
      <numFmt numFmtId="171" formatCode=";;;"/>
      <fill>
        <patternFill>
          <bgColor theme="0"/>
        </patternFill>
      </fill>
    </dxf>
  </dxfs>
  <tableStyles count="0" defaultTableStyle="TableStyleMedium2" defaultPivotStyle="PivotStyleLight16"/>
  <colors>
    <mruColors>
      <color rgb="FFBFBFBF"/>
      <color rgb="FFEDEDED"/>
      <color rgb="FF9BC2E6"/>
      <color rgb="FF70AD47"/>
      <color rgb="FFFFE699"/>
      <color rgb="FF4270C2"/>
      <color rgb="FF5B9BD5"/>
      <color rgb="FF538DD5"/>
      <color rgb="FFF79F57"/>
      <color rgb="FFAE78D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L24"/>
  <sheetViews>
    <sheetView tabSelected="1" zoomScale="80" zoomScaleNormal="80" workbookViewId="0">
      <pane ySplit="4" topLeftCell="A5" activePane="bottomLeft" state="frozen"/>
      <selection pane="bottomLeft" activeCell="H14" sqref="H14"/>
    </sheetView>
  </sheetViews>
  <sheetFormatPr defaultColWidth="9.26953125" defaultRowHeight="14.5" x14ac:dyDescent="0.35"/>
  <cols>
    <col min="1" max="1" width="4.453125" style="326" customWidth="1"/>
    <col min="2" max="2" width="3.7265625" style="326" customWidth="1"/>
    <col min="3" max="3" width="27.7265625" style="326" customWidth="1"/>
    <col min="4" max="4" width="21.7265625" style="326" customWidth="1"/>
    <col min="5" max="5" width="54" style="326" customWidth="1"/>
    <col min="6" max="6" width="68.7265625" style="326" customWidth="1"/>
    <col min="7" max="11" width="13.7265625" style="326" customWidth="1"/>
    <col min="12" max="16384" width="9.26953125" style="326"/>
  </cols>
  <sheetData>
    <row r="1" spans="1:12" s="66" customFormat="1" ht="23.5" x14ac:dyDescent="0.35">
      <c r="A1" s="63" t="s">
        <v>0</v>
      </c>
      <c r="B1" s="63"/>
      <c r="C1" s="326"/>
      <c r="D1" s="64"/>
      <c r="E1" s="64"/>
      <c r="F1" s="64"/>
      <c r="G1" s="64"/>
      <c r="H1" s="64"/>
      <c r="J1" s="127"/>
      <c r="K1" s="127"/>
      <c r="L1" s="64" t="s">
        <v>1</v>
      </c>
    </row>
    <row r="4" spans="1:12" x14ac:dyDescent="0.35">
      <c r="B4" s="545" t="s">
        <v>2</v>
      </c>
      <c r="C4" s="545"/>
      <c r="D4" s="102" t="s">
        <v>3</v>
      </c>
      <c r="E4" s="102" t="s">
        <v>4</v>
      </c>
      <c r="F4" s="102" t="s">
        <v>5</v>
      </c>
    </row>
    <row r="5" spans="1:12" x14ac:dyDescent="0.35">
      <c r="B5" s="365" t="s">
        <v>6</v>
      </c>
      <c r="C5" s="366"/>
      <c r="D5" s="366"/>
      <c r="E5" s="366"/>
      <c r="F5" s="366"/>
    </row>
    <row r="6" spans="1:12" ht="52" x14ac:dyDescent="0.35">
      <c r="B6" s="379"/>
      <c r="C6" s="380" t="s">
        <v>7</v>
      </c>
      <c r="D6" s="366" t="s">
        <v>8</v>
      </c>
      <c r="E6" s="366" t="s">
        <v>9</v>
      </c>
      <c r="F6" s="366" t="s">
        <v>10</v>
      </c>
    </row>
    <row r="7" spans="1:12" ht="39" x14ac:dyDescent="0.35">
      <c r="B7" s="379"/>
      <c r="C7" s="380" t="s">
        <v>11</v>
      </c>
      <c r="D7" s="366" t="s">
        <v>11</v>
      </c>
      <c r="E7" s="366" t="s">
        <v>12</v>
      </c>
      <c r="F7" s="366" t="s">
        <v>13</v>
      </c>
    </row>
    <row r="8" spans="1:12" ht="26" x14ac:dyDescent="0.35">
      <c r="B8" s="379"/>
      <c r="C8" s="380" t="s">
        <v>14</v>
      </c>
      <c r="D8" s="366" t="s">
        <v>15</v>
      </c>
      <c r="E8" s="366" t="s">
        <v>16</v>
      </c>
      <c r="F8" s="366" t="s">
        <v>17</v>
      </c>
    </row>
    <row r="9" spans="1:12" ht="39" x14ac:dyDescent="0.35">
      <c r="B9" s="379"/>
      <c r="C9" s="380" t="s">
        <v>18</v>
      </c>
      <c r="D9" s="366" t="s">
        <v>19</v>
      </c>
      <c r="E9" s="366" t="s">
        <v>20</v>
      </c>
      <c r="F9" s="366" t="s">
        <v>21</v>
      </c>
    </row>
    <row r="10" spans="1:12" x14ac:dyDescent="0.35">
      <c r="B10" s="381" t="s">
        <v>22</v>
      </c>
      <c r="C10" s="382"/>
      <c r="D10" s="383"/>
      <c r="E10" s="383"/>
      <c r="F10" s="383"/>
    </row>
    <row r="11" spans="1:12" ht="39" x14ac:dyDescent="0.35">
      <c r="B11" s="381"/>
      <c r="C11" s="384" t="s">
        <v>23</v>
      </c>
      <c r="D11" s="385" t="s">
        <v>24</v>
      </c>
      <c r="E11" s="385" t="s">
        <v>25</v>
      </c>
      <c r="F11" s="385" t="s">
        <v>26</v>
      </c>
    </row>
    <row r="12" spans="1:12" ht="39" x14ac:dyDescent="0.35">
      <c r="B12" s="382"/>
      <c r="C12" s="384" t="s">
        <v>27</v>
      </c>
      <c r="D12" s="385" t="s">
        <v>28</v>
      </c>
      <c r="E12" s="385" t="s">
        <v>25</v>
      </c>
      <c r="F12" s="385" t="s">
        <v>29</v>
      </c>
    </row>
    <row r="13" spans="1:12" x14ac:dyDescent="0.35">
      <c r="B13" s="367" t="s">
        <v>30</v>
      </c>
      <c r="C13" s="386"/>
      <c r="D13" s="368"/>
      <c r="E13" s="368"/>
      <c r="F13" s="368"/>
    </row>
    <row r="14" spans="1:12" ht="39" x14ac:dyDescent="0.35">
      <c r="B14" s="386"/>
      <c r="C14" s="369" t="s">
        <v>31</v>
      </c>
      <c r="D14" s="387" t="s">
        <v>31</v>
      </c>
      <c r="E14" s="387" t="s">
        <v>32</v>
      </c>
      <c r="F14" s="387" t="s">
        <v>33</v>
      </c>
    </row>
    <row r="15" spans="1:12" ht="26" x14ac:dyDescent="0.35">
      <c r="B15" s="386"/>
      <c r="C15" s="369" t="s">
        <v>34</v>
      </c>
      <c r="D15" s="387" t="s">
        <v>34</v>
      </c>
      <c r="E15" s="387" t="s">
        <v>35</v>
      </c>
      <c r="F15" s="387" t="s">
        <v>36</v>
      </c>
    </row>
    <row r="16" spans="1:12" x14ac:dyDescent="0.35">
      <c r="B16" s="370" t="s">
        <v>37</v>
      </c>
      <c r="C16" s="388"/>
      <c r="D16" s="371"/>
      <c r="E16" s="371"/>
      <c r="F16" s="371"/>
    </row>
    <row r="17" spans="2:6" ht="39" x14ac:dyDescent="0.35">
      <c r="B17" s="388"/>
      <c r="C17" s="372" t="s">
        <v>38</v>
      </c>
      <c r="D17" s="362" t="s">
        <v>39</v>
      </c>
      <c r="E17" s="362" t="s">
        <v>40</v>
      </c>
      <c r="F17" s="362" t="s">
        <v>41</v>
      </c>
    </row>
    <row r="18" spans="2:6" ht="26" x14ac:dyDescent="0.35">
      <c r="B18" s="388"/>
      <c r="C18" s="372" t="s">
        <v>42</v>
      </c>
      <c r="D18" s="362" t="s">
        <v>42</v>
      </c>
      <c r="E18" s="362" t="s">
        <v>43</v>
      </c>
      <c r="F18" s="362" t="s">
        <v>44</v>
      </c>
    </row>
    <row r="19" spans="2:6" x14ac:dyDescent="0.35">
      <c r="B19" s="376" t="s">
        <v>45</v>
      </c>
      <c r="C19" s="377"/>
      <c r="D19" s="378"/>
      <c r="E19" s="378"/>
      <c r="F19" s="378"/>
    </row>
    <row r="20" spans="2:6" ht="26" x14ac:dyDescent="0.35">
      <c r="B20" s="377"/>
      <c r="C20" s="363" t="s">
        <v>46</v>
      </c>
      <c r="D20" s="361" t="s">
        <v>46</v>
      </c>
      <c r="E20" s="364" t="s">
        <v>47</v>
      </c>
      <c r="F20" s="361" t="s">
        <v>48</v>
      </c>
    </row>
    <row r="21" spans="2:6" ht="26" x14ac:dyDescent="0.35">
      <c r="B21" s="377"/>
      <c r="C21" s="363" t="s">
        <v>49</v>
      </c>
      <c r="D21" s="361" t="s">
        <v>50</v>
      </c>
      <c r="E21" s="361" t="s">
        <v>51</v>
      </c>
      <c r="F21" s="361" t="s">
        <v>52</v>
      </c>
    </row>
    <row r="22" spans="2:6" ht="26" x14ac:dyDescent="0.35">
      <c r="B22" s="377"/>
      <c r="C22" s="363" t="s">
        <v>53</v>
      </c>
      <c r="D22" s="361" t="s">
        <v>54</v>
      </c>
      <c r="E22" s="361" t="s">
        <v>55</v>
      </c>
      <c r="F22" s="361" t="s">
        <v>52</v>
      </c>
    </row>
    <row r="23" spans="2:6" x14ac:dyDescent="0.35">
      <c r="B23" s="373" t="s">
        <v>56</v>
      </c>
      <c r="C23" s="389"/>
      <c r="D23" s="390"/>
      <c r="E23" s="390"/>
      <c r="F23" s="390"/>
    </row>
    <row r="24" spans="2:6" ht="26" x14ac:dyDescent="0.35">
      <c r="B24" s="374"/>
      <c r="C24" s="375" t="s">
        <v>57</v>
      </c>
      <c r="D24" s="374" t="s">
        <v>58</v>
      </c>
      <c r="E24" s="374" t="s">
        <v>59</v>
      </c>
      <c r="F24" s="374"/>
    </row>
  </sheetData>
  <sheetProtection algorithmName="SHA-512" hashValue="0u7iAz5nHRy+RivE9ZfCbs5KQ1Jxwoi7mBN5fe/Hu2r0HBZ/cNv9/WOtahT5vgx5xAAJsAtsraMBnRppTt8J8w==" saltValue="RB29SqZQONX7IgFmkOMvZw==" spinCount="100000" sheet="1" objects="1" scenarios="1"/>
  <mergeCells count="1">
    <mergeCell ref="B4:C4"/>
  </mergeCells>
  <hyperlinks>
    <hyperlink ref="C21" location="'MHD ZEVs'!A1" display="Medium/Heavy-Duty Vehicle Electrification" xr:uid="{00000000-0004-0000-0000-000001000000}"/>
    <hyperlink ref="C22" location="'LD ZEVs'!A1" display="Light Duty Vehicle Electrification" xr:uid="{00000000-0004-0000-0000-000002000000}"/>
    <hyperlink ref="C6" location="'Transit Service'!A1" display="New or Expanded Transit Service" xr:uid="{00000000-0004-0000-0000-000003000000}"/>
    <hyperlink ref="C7" location="'Transit Station Amenities'!A1" display="Transit Station Amenities" xr:uid="{00000000-0004-0000-0000-000004000000}"/>
    <hyperlink ref="C8" location="'Ferry Service'!A1" display="New or Expanded Ferry Service " xr:uid="{00000000-0004-0000-0000-000005000000}"/>
    <hyperlink ref="C9" location="'BAT Lanes'!A1" display="Business Access and Transit (BAT) Lanes" xr:uid="{00000000-0004-0000-0000-000006000000}"/>
    <hyperlink ref="C12" location="'Ped Facilities'!A1" display="'Ped Facilities'!A1" xr:uid="{00000000-0004-0000-0000-000007000000}"/>
    <hyperlink ref="C14" location="'Reduce Intersection Delay'!A1" display="Reduce Intersection Delay" xr:uid="{00000000-0004-0000-0000-000008000000}"/>
    <hyperlink ref="C15" location="'Increase Corridor Speed'!A1" display="Increase Corridor Speed" xr:uid="{00000000-0004-0000-0000-000009000000}"/>
    <hyperlink ref="C17" location="'Outreach Prgms. &amp; Sub. Transit '!A1" display="Outreach Prgms. &amp; Sub. Transit" xr:uid="{00000000-0004-0000-0000-00000A000000}"/>
    <hyperlink ref="C18" location="Vanpools!A1" display="Vanpools" xr:uid="{00000000-0004-0000-0000-00000B000000}"/>
    <hyperlink ref="C24" location="'VMT Reduction'!A1" display="Vehicle Miles Traveled Reduction" xr:uid="{00000000-0004-0000-0000-00000C000000}"/>
    <hyperlink ref="C20" location="'Vehicle Replacement'!A1" display="Vehicle Replacement" xr:uid="{00000000-0004-0000-0000-00000D000000}"/>
    <hyperlink ref="C11" location="'Bike Facilities'!A1" display="'Bike Facilities'!A1" xr:uid="{CC58F5DF-678D-4A6C-859C-9D85EA6D71C5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1">
    <tabColor theme="5"/>
  </sheetPr>
  <dimension ref="A1:CB89"/>
  <sheetViews>
    <sheetView zoomScaleNormal="100" zoomScalePageLayoutView="80" workbookViewId="0">
      <pane ySplit="1" topLeftCell="A2" activePane="bottomLeft" state="frozen"/>
      <selection pane="bottomLeft" activeCell="S7" sqref="S7"/>
    </sheetView>
  </sheetViews>
  <sheetFormatPr defaultColWidth="8.7265625" defaultRowHeight="14.5" x14ac:dyDescent="0.35"/>
  <cols>
    <col min="1" max="1" width="3.453125" style="64" customWidth="1"/>
    <col min="2" max="2" width="77.7265625" style="64" customWidth="1"/>
    <col min="3" max="3" width="13" style="64" customWidth="1"/>
    <col min="4" max="4" width="13.26953125" style="64" customWidth="1"/>
    <col min="5" max="5" width="14.7265625" style="64" customWidth="1"/>
    <col min="6" max="6" width="6" style="64" customWidth="1"/>
    <col min="7" max="9" width="15.26953125" style="64" hidden="1" customWidth="1"/>
    <col min="10" max="10" width="24.453125" style="64" hidden="1" customWidth="1"/>
    <col min="11" max="11" width="27" style="64" hidden="1" customWidth="1"/>
    <col min="12" max="17" width="13.26953125" style="64" hidden="1" customWidth="1"/>
    <col min="18" max="18" width="9.453125" style="64" customWidth="1"/>
    <col min="19" max="48" width="8.453125" style="64" customWidth="1"/>
    <col min="49" max="16384" width="8.7265625" style="64"/>
  </cols>
  <sheetData>
    <row r="1" spans="1:80" s="66" customFormat="1" ht="32.25" customHeight="1" x14ac:dyDescent="0.35">
      <c r="A1" s="63" t="s">
        <v>34</v>
      </c>
      <c r="B1" s="64"/>
      <c r="C1" s="64"/>
      <c r="D1" s="64"/>
      <c r="E1" s="64"/>
      <c r="H1" s="64"/>
      <c r="I1" s="64"/>
    </row>
    <row r="2" spans="1:80" s="66" customFormat="1" ht="19.5" customHeight="1" x14ac:dyDescent="0.35">
      <c r="A2" s="63"/>
      <c r="B2" s="64"/>
      <c r="C2" s="64"/>
      <c r="D2" s="64"/>
      <c r="E2" s="64"/>
      <c r="H2" s="64"/>
      <c r="I2" s="64"/>
      <c r="AX2" s="64"/>
      <c r="AY2" s="64"/>
      <c r="AZ2" s="64"/>
      <c r="BA2" s="64"/>
      <c r="BB2" s="64"/>
      <c r="BC2" s="64"/>
      <c r="BD2" s="64"/>
      <c r="BE2" s="64"/>
      <c r="BF2" s="64"/>
      <c r="BG2" s="64"/>
      <c r="BH2" s="64"/>
      <c r="BI2" s="64"/>
      <c r="BJ2" s="64"/>
      <c r="BK2" s="64"/>
      <c r="BL2" s="64"/>
      <c r="BM2" s="64"/>
      <c r="BN2" s="64"/>
      <c r="BO2" s="64"/>
      <c r="BP2" s="64"/>
      <c r="BQ2" s="64"/>
      <c r="BR2" s="64"/>
    </row>
    <row r="3" spans="1:80" s="66" customFormat="1" ht="15.75" customHeight="1" x14ac:dyDescent="0.35">
      <c r="A3" s="185"/>
      <c r="B3" s="61" t="s">
        <v>77</v>
      </c>
      <c r="C3" s="549"/>
      <c r="D3" s="549"/>
      <c r="E3" s="549"/>
      <c r="F3" s="184"/>
      <c r="H3" s="64"/>
      <c r="I3" s="64"/>
      <c r="AX3" s="64"/>
      <c r="AY3" s="64"/>
      <c r="AZ3" s="64"/>
      <c r="BA3" s="64"/>
      <c r="BB3" s="64"/>
      <c r="BC3" s="64"/>
      <c r="BD3" s="64"/>
      <c r="BE3" s="64"/>
      <c r="BF3" s="64"/>
      <c r="BG3" s="64"/>
      <c r="BH3" s="64"/>
      <c r="BI3" s="64"/>
      <c r="BJ3" s="64"/>
      <c r="BK3" s="64"/>
      <c r="BL3" s="64"/>
      <c r="BM3" s="64"/>
      <c r="BN3" s="64"/>
      <c r="BO3" s="64"/>
      <c r="BP3" s="64"/>
      <c r="BQ3" s="64"/>
      <c r="BR3" s="64"/>
      <c r="BS3" s="64"/>
      <c r="BT3" s="64"/>
      <c r="BU3" s="64"/>
      <c r="BV3" s="64"/>
      <c r="BW3" s="64"/>
      <c r="BX3" s="64"/>
      <c r="BY3" s="64"/>
      <c r="BZ3" s="64"/>
      <c r="CA3" s="64"/>
      <c r="CB3" s="64"/>
    </row>
    <row r="4" spans="1:80" customFormat="1" ht="23.5" x14ac:dyDescent="0.35">
      <c r="A4" s="186"/>
      <c r="B4" s="550" t="s">
        <v>78</v>
      </c>
      <c r="C4" s="550"/>
      <c r="D4" s="550"/>
      <c r="E4" s="550"/>
      <c r="F4" s="187"/>
      <c r="G4" s="66"/>
      <c r="H4" s="64"/>
      <c r="I4" s="64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66"/>
      <c r="AI4" s="66"/>
      <c r="AJ4" s="66"/>
      <c r="AK4" s="66"/>
      <c r="AL4" s="66"/>
      <c r="AM4" s="66"/>
      <c r="AN4" s="66"/>
      <c r="AO4" s="64"/>
      <c r="AP4" s="64"/>
      <c r="AQ4" s="64"/>
      <c r="AR4" s="64"/>
      <c r="AS4" s="64"/>
      <c r="AT4" s="64"/>
      <c r="AU4" s="64"/>
      <c r="AV4" s="64"/>
      <c r="AW4" s="64"/>
      <c r="AX4" s="64"/>
      <c r="AY4" s="64"/>
      <c r="AZ4" s="64"/>
      <c r="BA4" s="64"/>
      <c r="BB4" s="64"/>
      <c r="BC4" s="64"/>
      <c r="BD4" s="64"/>
      <c r="BE4" s="64"/>
      <c r="BF4" s="64"/>
      <c r="BG4" s="64"/>
      <c r="BH4" s="64"/>
      <c r="BI4" s="64"/>
      <c r="BJ4" s="64"/>
      <c r="BK4" s="64"/>
      <c r="BL4" s="64"/>
      <c r="BM4" s="64"/>
      <c r="BN4" s="64"/>
      <c r="BO4" s="64"/>
      <c r="BP4" s="64"/>
      <c r="BQ4" s="64"/>
      <c r="BR4" s="64"/>
      <c r="BS4" s="64"/>
      <c r="BT4" s="64"/>
      <c r="BU4" s="64"/>
      <c r="BV4" s="64"/>
      <c r="BW4" s="64"/>
      <c r="BX4" s="64"/>
      <c r="BY4" s="64"/>
      <c r="BZ4" s="64"/>
      <c r="CA4" s="64"/>
      <c r="CB4" s="64"/>
    </row>
    <row r="5" spans="1:80" customFormat="1" ht="30" customHeight="1" x14ac:dyDescent="0.35">
      <c r="A5" s="186"/>
      <c r="B5" s="551" t="s">
        <v>79</v>
      </c>
      <c r="C5" s="551"/>
      <c r="D5" s="551"/>
      <c r="E5" s="551"/>
      <c r="F5" s="187"/>
      <c r="G5" s="66"/>
      <c r="H5" s="64"/>
      <c r="I5" s="64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66"/>
      <c r="W5" s="66"/>
      <c r="X5" s="66"/>
      <c r="Y5" s="66"/>
      <c r="Z5" s="66"/>
      <c r="AA5" s="66"/>
      <c r="AB5" s="66"/>
      <c r="AC5" s="66"/>
      <c r="AD5" s="66"/>
      <c r="AE5" s="66"/>
      <c r="AF5" s="66"/>
      <c r="AG5" s="66"/>
      <c r="AH5" s="66"/>
      <c r="AI5" s="66"/>
      <c r="AJ5" s="66"/>
      <c r="AK5" s="66"/>
      <c r="AL5" s="66"/>
      <c r="AM5" s="66"/>
      <c r="AN5" s="66"/>
      <c r="AO5" s="64"/>
      <c r="AP5" s="64"/>
      <c r="AQ5" s="64"/>
      <c r="AR5" s="64"/>
      <c r="AS5" s="64"/>
      <c r="AT5" s="64"/>
      <c r="AU5" s="64"/>
      <c r="AV5" s="64"/>
      <c r="AW5" s="64"/>
      <c r="AX5" s="64"/>
      <c r="AY5" s="64"/>
      <c r="AZ5" s="64"/>
      <c r="BA5" s="64"/>
      <c r="BB5" s="64"/>
      <c r="BC5" s="64"/>
      <c r="BD5" s="64"/>
      <c r="BE5" s="64"/>
      <c r="BF5" s="64"/>
      <c r="BG5" s="64"/>
      <c r="BH5" s="64"/>
      <c r="BI5" s="64"/>
      <c r="BJ5" s="64"/>
      <c r="BK5" s="64"/>
      <c r="BL5" s="64"/>
      <c r="BM5" s="64"/>
      <c r="BN5" s="64"/>
      <c r="BO5" s="64"/>
      <c r="BP5" s="64"/>
      <c r="BQ5" s="64"/>
      <c r="BR5" s="64"/>
      <c r="BS5" s="64"/>
      <c r="BT5" s="64"/>
      <c r="BU5" s="64"/>
      <c r="BV5" s="64"/>
      <c r="BW5" s="64"/>
      <c r="BX5" s="64"/>
      <c r="BY5" s="64"/>
      <c r="BZ5" s="64"/>
      <c r="CA5" s="64"/>
      <c r="CB5" s="64"/>
    </row>
    <row r="6" spans="1:80" customFormat="1" ht="29.25" customHeight="1" x14ac:dyDescent="0.35">
      <c r="A6" s="186"/>
      <c r="B6" s="552" t="s">
        <v>80</v>
      </c>
      <c r="C6" s="552"/>
      <c r="D6" s="552"/>
      <c r="E6" s="552"/>
      <c r="F6" s="187"/>
      <c r="G6" s="66"/>
      <c r="H6" s="64"/>
      <c r="I6" s="64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  <c r="AA6" s="66"/>
      <c r="AB6" s="66"/>
      <c r="AC6" s="66"/>
      <c r="AD6" s="66"/>
      <c r="AE6" s="66"/>
      <c r="AF6" s="66"/>
      <c r="AG6" s="66"/>
      <c r="AH6" s="66"/>
      <c r="AI6" s="66"/>
      <c r="AJ6" s="66"/>
      <c r="AK6" s="66"/>
      <c r="AL6" s="66"/>
      <c r="AM6" s="66"/>
      <c r="AN6" s="66"/>
      <c r="AO6" s="64"/>
      <c r="AP6" s="64"/>
      <c r="AQ6" s="64"/>
      <c r="AR6" s="64"/>
      <c r="AS6" s="64"/>
      <c r="AT6" s="64"/>
      <c r="AU6" s="64"/>
      <c r="AV6" s="64"/>
      <c r="AW6" s="64"/>
      <c r="AX6" s="64"/>
      <c r="AY6" s="64"/>
      <c r="AZ6" s="64"/>
      <c r="BA6" s="64"/>
      <c r="BB6" s="64"/>
      <c r="BC6" s="64"/>
      <c r="BD6" s="64"/>
      <c r="BE6" s="64"/>
      <c r="BF6" s="64"/>
      <c r="BG6" s="64"/>
      <c r="BH6" s="64"/>
      <c r="BI6" s="64"/>
      <c r="BJ6" s="64"/>
      <c r="BK6" s="64"/>
      <c r="BL6" s="64"/>
      <c r="BM6" s="64"/>
      <c r="BN6" s="64"/>
      <c r="BO6" s="64"/>
      <c r="BP6" s="64"/>
      <c r="BQ6" s="64"/>
      <c r="BR6" s="64"/>
      <c r="BS6" s="64"/>
      <c r="BT6" s="64"/>
      <c r="BU6" s="64"/>
      <c r="BV6" s="64"/>
      <c r="BW6" s="64"/>
      <c r="BX6" s="64"/>
      <c r="BY6" s="64"/>
      <c r="BZ6" s="64"/>
      <c r="CA6" s="64"/>
      <c r="CB6" s="64"/>
    </row>
    <row r="7" spans="1:80" customFormat="1" ht="27" customHeight="1" x14ac:dyDescent="0.35">
      <c r="A7" s="186"/>
      <c r="B7" s="553" t="s">
        <v>81</v>
      </c>
      <c r="C7" s="553"/>
      <c r="D7" s="553"/>
      <c r="E7" s="553"/>
      <c r="F7" s="187"/>
      <c r="G7" s="66"/>
      <c r="H7" s="64"/>
      <c r="I7" s="64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66"/>
      <c r="Y7" s="66"/>
      <c r="Z7" s="66"/>
      <c r="AA7" s="66"/>
      <c r="AB7" s="66"/>
      <c r="AC7" s="66"/>
      <c r="AD7" s="66"/>
      <c r="AE7" s="66"/>
      <c r="AF7" s="66"/>
      <c r="AG7" s="66"/>
      <c r="AH7" s="66"/>
      <c r="AI7" s="66"/>
      <c r="AJ7" s="66"/>
      <c r="AK7" s="66"/>
      <c r="AL7" s="66"/>
      <c r="AM7" s="66"/>
      <c r="AN7" s="66"/>
      <c r="AO7" s="64"/>
      <c r="AP7" s="64"/>
      <c r="AQ7" s="64"/>
      <c r="AR7" s="64"/>
      <c r="AS7" s="64"/>
      <c r="AT7" s="64"/>
      <c r="AU7" s="64"/>
      <c r="AV7" s="64"/>
      <c r="AW7" s="64"/>
      <c r="AX7" s="64"/>
      <c r="AY7" s="64"/>
      <c r="AZ7" s="64"/>
      <c r="BA7" s="64"/>
      <c r="BB7" s="64"/>
      <c r="BC7" s="64"/>
      <c r="BD7" s="64"/>
      <c r="BE7" s="64"/>
      <c r="BF7" s="64"/>
      <c r="BG7" s="64"/>
      <c r="BH7" s="64"/>
      <c r="BI7" s="64"/>
      <c r="BJ7" s="64"/>
      <c r="BK7" s="64"/>
      <c r="BL7" s="64"/>
      <c r="BM7" s="64"/>
      <c r="BN7" s="64"/>
      <c r="BO7" s="64"/>
      <c r="BP7" s="64"/>
      <c r="BQ7" s="64"/>
      <c r="BR7" s="64"/>
      <c r="BS7" s="64"/>
      <c r="BT7" s="64"/>
      <c r="BU7" s="64"/>
      <c r="BV7" s="64"/>
      <c r="BW7" s="64"/>
      <c r="BX7" s="64"/>
      <c r="BY7" s="64"/>
      <c r="BZ7" s="64"/>
      <c r="CA7" s="64"/>
      <c r="CB7" s="64"/>
    </row>
    <row r="8" spans="1:80" customFormat="1" ht="23.5" x14ac:dyDescent="0.35">
      <c r="A8" s="186"/>
      <c r="B8" s="548" t="s">
        <v>82</v>
      </c>
      <c r="C8" s="548"/>
      <c r="D8" s="548"/>
      <c r="E8" s="548"/>
      <c r="F8" s="187"/>
      <c r="G8" s="66"/>
      <c r="H8" s="64"/>
      <c r="I8" s="64"/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  <c r="U8" s="66"/>
      <c r="V8" s="66"/>
      <c r="W8" s="66"/>
      <c r="X8" s="66"/>
      <c r="Y8" s="66"/>
      <c r="Z8" s="66"/>
      <c r="AA8" s="66"/>
      <c r="AB8" s="66"/>
      <c r="AC8" s="66"/>
      <c r="AD8" s="66"/>
      <c r="AE8" s="66"/>
      <c r="AF8" s="66"/>
      <c r="AG8" s="66"/>
      <c r="AH8" s="66"/>
      <c r="AI8" s="66"/>
      <c r="AJ8" s="66"/>
      <c r="AK8" s="66"/>
      <c r="AL8" s="66"/>
      <c r="AM8" s="66"/>
      <c r="AN8" s="66"/>
      <c r="AO8" s="64"/>
      <c r="AP8" s="64"/>
      <c r="AQ8" s="64"/>
      <c r="AR8" s="64"/>
      <c r="AS8" s="64"/>
      <c r="AT8" s="64"/>
      <c r="AU8" s="64"/>
      <c r="AV8" s="64"/>
      <c r="AW8" s="64"/>
      <c r="AX8" s="67"/>
      <c r="AY8" s="67"/>
      <c r="AZ8" s="67"/>
      <c r="BA8" s="67"/>
      <c r="BB8" s="67"/>
      <c r="BC8" s="67"/>
      <c r="BD8" s="67"/>
      <c r="BE8" s="67"/>
      <c r="BF8" s="67"/>
      <c r="BG8" s="67"/>
      <c r="BH8" s="67"/>
      <c r="BI8" s="67"/>
      <c r="BJ8" s="67"/>
      <c r="BK8" s="67"/>
      <c r="BL8" s="67"/>
      <c r="BM8" s="67"/>
      <c r="BN8" s="67"/>
      <c r="BO8" s="67"/>
      <c r="BP8" s="67"/>
      <c r="BQ8" s="67"/>
      <c r="BR8" s="64"/>
      <c r="BS8" s="64"/>
      <c r="BT8" s="64"/>
      <c r="BU8" s="64"/>
      <c r="BV8" s="64"/>
      <c r="BW8" s="64"/>
      <c r="BX8" s="64"/>
      <c r="BY8" s="64"/>
      <c r="BZ8" s="64"/>
      <c r="CA8" s="64"/>
      <c r="CB8" s="64"/>
    </row>
    <row r="9" spans="1:80" s="66" customFormat="1" ht="12" customHeight="1" x14ac:dyDescent="0.35">
      <c r="A9" s="184"/>
      <c r="B9" s="184"/>
      <c r="C9" s="184"/>
      <c r="D9" s="184"/>
      <c r="E9" s="184"/>
      <c r="F9" s="184"/>
      <c r="H9" s="64"/>
      <c r="I9" s="64"/>
      <c r="J9" s="64"/>
      <c r="K9" s="64"/>
      <c r="L9" s="64"/>
      <c r="M9" s="64"/>
      <c r="AO9" s="64"/>
      <c r="AP9" s="64"/>
      <c r="AQ9" s="64"/>
      <c r="AR9" s="64"/>
      <c r="AS9" s="64"/>
      <c r="AT9" s="64"/>
      <c r="AU9" s="64"/>
      <c r="AV9" s="64"/>
      <c r="AW9" s="64"/>
      <c r="AX9" s="67"/>
      <c r="AY9" s="67"/>
      <c r="AZ9" s="67"/>
      <c r="BA9" s="67"/>
      <c r="BB9" s="67"/>
      <c r="BC9" s="67"/>
      <c r="BD9" s="67"/>
      <c r="BE9" s="67"/>
      <c r="BF9" s="67"/>
      <c r="BG9" s="67"/>
      <c r="BH9" s="67"/>
      <c r="BI9" s="67"/>
      <c r="BJ9" s="67"/>
      <c r="BK9" s="67"/>
      <c r="BL9" s="67"/>
      <c r="BM9" s="67"/>
      <c r="BN9" s="67"/>
      <c r="BO9" s="67"/>
      <c r="BP9" s="67"/>
      <c r="BQ9" s="67"/>
      <c r="BR9" s="67"/>
      <c r="BS9" s="67"/>
      <c r="BT9" s="67"/>
      <c r="BU9" s="67"/>
      <c r="BV9" s="67"/>
      <c r="BW9" s="67"/>
      <c r="BX9" s="67"/>
      <c r="BY9" s="67"/>
      <c r="BZ9" s="67"/>
      <c r="CA9" s="67"/>
      <c r="CB9" s="67"/>
    </row>
    <row r="10" spans="1:80" s="66" customFormat="1" ht="18.75" customHeight="1" x14ac:dyDescent="0.35">
      <c r="A10" s="63"/>
      <c r="B10" s="64"/>
      <c r="C10" s="64"/>
      <c r="D10" s="64"/>
      <c r="E10" s="64"/>
      <c r="H10" s="64"/>
      <c r="I10" s="64"/>
      <c r="J10" s="64"/>
      <c r="K10" s="64"/>
      <c r="L10" s="64"/>
      <c r="M10" s="64"/>
      <c r="AO10" s="67"/>
      <c r="AP10" s="67"/>
      <c r="AQ10" s="67"/>
      <c r="AR10" s="67"/>
      <c r="AS10" s="67"/>
      <c r="AT10" s="67"/>
      <c r="AU10" s="67"/>
      <c r="AV10" s="67"/>
      <c r="AW10" s="67"/>
      <c r="AX10" s="64"/>
      <c r="AY10" s="64"/>
      <c r="AZ10" s="64"/>
      <c r="BA10" s="64"/>
      <c r="BB10" s="64"/>
      <c r="BC10" s="64"/>
      <c r="BD10" s="64"/>
      <c r="BE10" s="64"/>
      <c r="BF10" s="64"/>
      <c r="BG10" s="64"/>
      <c r="BH10" s="64"/>
      <c r="BI10" s="64"/>
      <c r="BJ10" s="64"/>
      <c r="BK10" s="64"/>
      <c r="BL10" s="64"/>
      <c r="BM10" s="64"/>
      <c r="BN10" s="64"/>
      <c r="BO10" s="64"/>
      <c r="BP10" s="64"/>
      <c r="BQ10" s="64"/>
      <c r="BR10" s="67"/>
      <c r="BS10" s="67"/>
      <c r="BT10" s="67"/>
      <c r="BU10" s="67"/>
      <c r="BV10" s="67"/>
      <c r="BW10" s="67"/>
      <c r="BX10" s="67"/>
      <c r="BY10" s="67"/>
      <c r="BZ10" s="67"/>
      <c r="CA10" s="67"/>
      <c r="CB10" s="67"/>
    </row>
    <row r="11" spans="1:80" ht="15.5" x14ac:dyDescent="0.35">
      <c r="A11" s="1"/>
      <c r="B11" s="61" t="s">
        <v>83</v>
      </c>
      <c r="C11" s="1"/>
      <c r="D11" s="1"/>
      <c r="E11" s="1"/>
      <c r="F11" s="1"/>
      <c r="AO11" s="67"/>
      <c r="AP11" s="67"/>
      <c r="AQ11" s="67"/>
      <c r="AR11" s="67"/>
      <c r="AS11" s="67"/>
      <c r="AT11" s="67"/>
      <c r="AU11" s="67"/>
      <c r="AV11" s="67"/>
      <c r="AW11" s="67"/>
    </row>
    <row r="12" spans="1:80" ht="39.5" x14ac:dyDescent="0.35">
      <c r="A12" s="1"/>
      <c r="B12" s="102" t="s">
        <v>84</v>
      </c>
      <c r="C12" s="102" t="s">
        <v>85</v>
      </c>
      <c r="D12" s="102" t="s">
        <v>86</v>
      </c>
      <c r="E12" s="102" t="s">
        <v>87</v>
      </c>
      <c r="F12" s="1"/>
      <c r="G12" s="115" t="s">
        <v>88</v>
      </c>
      <c r="H12" s="115" t="s">
        <v>89</v>
      </c>
      <c r="I12" s="115" t="s">
        <v>90</v>
      </c>
    </row>
    <row r="13" spans="1:80" x14ac:dyDescent="0.35">
      <c r="A13" s="1"/>
      <c r="B13" s="105" t="s">
        <v>91</v>
      </c>
      <c r="C13" s="509"/>
      <c r="D13" s="510"/>
      <c r="E13" s="106"/>
      <c r="F13" s="1"/>
      <c r="H13" s="117">
        <f>C13</f>
        <v>0</v>
      </c>
    </row>
    <row r="14" spans="1:80" x14ac:dyDescent="0.35">
      <c r="A14" s="1"/>
      <c r="B14" s="105" t="s">
        <v>209</v>
      </c>
      <c r="C14" s="521"/>
      <c r="D14" s="510"/>
      <c r="E14" s="106"/>
      <c r="F14" s="1"/>
      <c r="H14" s="118">
        <f>C14</f>
        <v>0</v>
      </c>
    </row>
    <row r="15" spans="1:80" s="1" customFormat="1" x14ac:dyDescent="0.35">
      <c r="B15" s="105" t="s">
        <v>181</v>
      </c>
      <c r="C15" s="522"/>
      <c r="D15" s="510"/>
      <c r="E15" s="106"/>
      <c r="G15" s="64"/>
      <c r="H15" s="117">
        <f>C15</f>
        <v>0</v>
      </c>
      <c r="I15" s="64"/>
      <c r="J15" s="64"/>
      <c r="K15" s="64"/>
      <c r="L15" s="64"/>
      <c r="M15" s="64"/>
      <c r="N15" s="64"/>
      <c r="O15" s="64"/>
      <c r="P15" s="64"/>
      <c r="Q15" s="64"/>
      <c r="R15" s="64"/>
      <c r="S15" s="64"/>
      <c r="T15" s="64"/>
      <c r="U15" s="64"/>
      <c r="V15" s="64"/>
      <c r="W15" s="64"/>
      <c r="X15" s="64"/>
      <c r="Y15" s="64"/>
      <c r="Z15" s="64"/>
      <c r="AA15" s="64"/>
      <c r="AB15" s="64"/>
      <c r="AC15" s="64"/>
      <c r="AD15" s="64"/>
      <c r="AE15" s="64"/>
      <c r="AF15" s="64"/>
      <c r="AG15" s="64"/>
      <c r="AH15" s="64"/>
      <c r="AI15" s="64"/>
      <c r="AJ15" s="64"/>
      <c r="AK15" s="64"/>
      <c r="AL15" s="64"/>
      <c r="AM15" s="64"/>
      <c r="AN15" s="64"/>
      <c r="AO15" s="64"/>
      <c r="AP15" s="64"/>
      <c r="AQ15" s="64"/>
      <c r="AR15" s="64"/>
      <c r="AS15" s="64"/>
      <c r="AT15" s="64"/>
      <c r="AU15" s="64"/>
      <c r="AV15" s="64"/>
      <c r="AW15" s="64"/>
      <c r="AX15" s="64"/>
      <c r="AY15" s="64"/>
      <c r="AZ15" s="64"/>
      <c r="BA15" s="64"/>
      <c r="BB15" s="64"/>
      <c r="BC15" s="64"/>
      <c r="BD15" s="64"/>
      <c r="BE15" s="64"/>
      <c r="BF15" s="64"/>
      <c r="BG15" s="64"/>
      <c r="BH15" s="64"/>
      <c r="BI15" s="64"/>
      <c r="BJ15" s="64"/>
      <c r="BK15" s="64"/>
      <c r="BL15" s="64"/>
      <c r="BM15" s="64"/>
      <c r="BN15" s="64"/>
      <c r="BO15" s="64"/>
      <c r="BP15" s="64"/>
      <c r="BQ15" s="64"/>
      <c r="BR15" s="64"/>
      <c r="BS15" s="64"/>
      <c r="BT15" s="64"/>
    </row>
    <row r="16" spans="1:80" s="1" customFormat="1" x14ac:dyDescent="0.35">
      <c r="B16" s="327" t="s">
        <v>210</v>
      </c>
      <c r="C16" s="525"/>
      <c r="D16" s="524" t="s">
        <v>94</v>
      </c>
      <c r="E16" s="340">
        <f>IF(D16="Yes",G16," ")</f>
        <v>0</v>
      </c>
      <c r="G16" s="117">
        <f>H15*H28*H29</f>
        <v>0</v>
      </c>
      <c r="H16" s="117">
        <f>IF(D16="Yes",E16,C16)</f>
        <v>0</v>
      </c>
      <c r="I16" s="166">
        <f>IF(D16="Yes",IF(E16=0,1,0),IF(AND(D16="No",C16=""),1,0))</f>
        <v>1</v>
      </c>
      <c r="J16" s="64"/>
      <c r="K16" s="64"/>
      <c r="L16" s="64"/>
      <c r="M16" s="64"/>
      <c r="N16" s="64"/>
      <c r="O16" s="64"/>
      <c r="P16" s="64"/>
      <c r="Q16" s="64"/>
      <c r="R16" s="64"/>
      <c r="S16" s="64"/>
      <c r="T16" s="64"/>
      <c r="U16" s="64"/>
      <c r="V16" s="64"/>
      <c r="W16" s="64"/>
      <c r="X16" s="64"/>
      <c r="Y16" s="64"/>
      <c r="Z16" s="64"/>
      <c r="AA16" s="64"/>
      <c r="AB16" s="64"/>
      <c r="AC16" s="64"/>
      <c r="AD16" s="64"/>
      <c r="AE16" s="64"/>
      <c r="AF16" s="64"/>
      <c r="AG16" s="64"/>
      <c r="AH16" s="64"/>
      <c r="AI16" s="64"/>
      <c r="AJ16" s="64"/>
      <c r="AK16" s="64"/>
      <c r="AL16" s="64"/>
      <c r="AM16" s="64"/>
      <c r="AN16" s="64"/>
      <c r="AO16" s="64"/>
      <c r="AP16" s="64"/>
      <c r="AQ16" s="64"/>
      <c r="AR16" s="64"/>
      <c r="AS16" s="64"/>
      <c r="AT16" s="64"/>
      <c r="AU16" s="64"/>
      <c r="AV16" s="64"/>
      <c r="AW16" s="64"/>
      <c r="AX16" s="64"/>
      <c r="AY16" s="64"/>
      <c r="AZ16" s="64"/>
      <c r="BA16" s="64"/>
      <c r="BB16" s="64"/>
      <c r="BC16" s="64"/>
      <c r="BD16" s="64"/>
      <c r="BE16" s="64"/>
      <c r="BF16" s="64"/>
      <c r="BG16" s="64"/>
      <c r="BH16" s="64"/>
      <c r="BI16" s="64"/>
      <c r="BJ16" s="64"/>
      <c r="BK16" s="64"/>
      <c r="BL16" s="64"/>
      <c r="BM16" s="64"/>
      <c r="BN16" s="64"/>
      <c r="BO16" s="64"/>
      <c r="BP16" s="64"/>
      <c r="BQ16" s="64"/>
      <c r="BR16" s="64"/>
      <c r="BS16" s="64"/>
      <c r="BT16" s="64"/>
    </row>
    <row r="17" spans="1:72" x14ac:dyDescent="0.35">
      <c r="A17" s="1"/>
      <c r="B17" s="105" t="s">
        <v>211</v>
      </c>
      <c r="C17" s="532"/>
      <c r="D17" s="510"/>
      <c r="E17" s="106"/>
      <c r="F17" s="1"/>
      <c r="H17" s="118">
        <f t="shared" ref="H17:H18" si="0">C17</f>
        <v>0</v>
      </c>
    </row>
    <row r="18" spans="1:72" s="67" customFormat="1" x14ac:dyDescent="0.35">
      <c r="A18" s="1"/>
      <c r="B18" s="105" t="s">
        <v>212</v>
      </c>
      <c r="C18" s="532"/>
      <c r="D18" s="510"/>
      <c r="E18" s="106"/>
      <c r="F18" s="1"/>
      <c r="G18" s="64"/>
      <c r="H18" s="118">
        <f t="shared" si="0"/>
        <v>0</v>
      </c>
      <c r="I18" s="64"/>
      <c r="J18" s="64"/>
      <c r="K18" s="64"/>
      <c r="L18" s="64"/>
      <c r="O18" s="64"/>
      <c r="Q18" s="64"/>
      <c r="R18" s="64"/>
      <c r="S18" s="64"/>
      <c r="T18" s="64"/>
      <c r="U18" s="64"/>
      <c r="V18" s="64"/>
      <c r="W18" s="64"/>
      <c r="X18" s="64"/>
      <c r="Y18" s="64"/>
      <c r="Z18" s="64"/>
      <c r="AA18" s="64"/>
      <c r="AB18" s="64"/>
      <c r="AC18" s="64"/>
      <c r="AD18" s="64"/>
      <c r="AE18" s="64"/>
      <c r="AF18" s="64"/>
      <c r="AG18" s="64"/>
      <c r="AH18" s="64"/>
      <c r="AI18" s="64"/>
    </row>
    <row r="19" spans="1:72" s="67" customFormat="1" ht="15" customHeight="1" x14ac:dyDescent="0.35">
      <c r="A19" s="1"/>
      <c r="B19" s="105" t="s">
        <v>213</v>
      </c>
      <c r="C19" s="523"/>
      <c r="D19" s="513" t="s">
        <v>94</v>
      </c>
      <c r="E19" s="145">
        <f>IF(D19="Yes",G19," ")</f>
        <v>3.1E-2</v>
      </c>
      <c r="F19" s="1"/>
      <c r="G19" s="119">
        <f>Assumptions!$D$99</f>
        <v>3.1E-2</v>
      </c>
      <c r="H19" s="136">
        <f t="shared" ref="H19" si="1">IF(D19="Yes",E19,C19)</f>
        <v>3.1E-2</v>
      </c>
      <c r="I19" s="166">
        <f>IF(AND(D19="No",ISBLANK(C19)),1,IF(D19="Yes",IF(E19=0,1,0),0))</f>
        <v>0</v>
      </c>
      <c r="J19" s="64"/>
      <c r="K19" s="64"/>
      <c r="L19" s="64"/>
      <c r="M19" s="64"/>
      <c r="N19" s="64"/>
      <c r="O19" s="64"/>
      <c r="P19" s="64"/>
      <c r="Q19" s="64"/>
      <c r="R19" s="64"/>
      <c r="S19" s="64"/>
      <c r="T19" s="64"/>
      <c r="U19" s="64"/>
      <c r="V19" s="64"/>
      <c r="W19" s="64"/>
      <c r="X19" s="64"/>
      <c r="Y19" s="64"/>
      <c r="Z19" s="64"/>
      <c r="AA19" s="64"/>
      <c r="AB19" s="64"/>
      <c r="AC19" s="64"/>
      <c r="AD19" s="64"/>
      <c r="AE19" s="64"/>
      <c r="AF19" s="64"/>
      <c r="AG19" s="64"/>
      <c r="AH19" s="64"/>
      <c r="AI19" s="64"/>
    </row>
    <row r="20" spans="1:72" x14ac:dyDescent="0.35">
      <c r="A20" s="1"/>
      <c r="B20" s="105" t="s">
        <v>214</v>
      </c>
      <c r="C20" s="527"/>
      <c r="D20" s="510"/>
      <c r="E20" s="106"/>
      <c r="F20" s="1"/>
      <c r="H20" s="117">
        <f t="shared" ref="H20" si="2">C20</f>
        <v>0</v>
      </c>
    </row>
    <row r="21" spans="1:72" s="1" customFormat="1" x14ac:dyDescent="0.35">
      <c r="B21" s="105" t="s">
        <v>215</v>
      </c>
      <c r="C21" s="531"/>
      <c r="D21" s="524" t="s">
        <v>94</v>
      </c>
      <c r="E21" s="421">
        <f>IF(D21="Yes",G21," ")</f>
        <v>0</v>
      </c>
      <c r="G21" s="439">
        <v>0</v>
      </c>
      <c r="H21" s="439">
        <f>IF(D21="Yes",E21,C21)</f>
        <v>0</v>
      </c>
      <c r="I21" s="166">
        <f>IF(D21="Yes",IF(E21&lt;&gt;0,1,0),IF(AND(D21="No",C21=""),1,0))</f>
        <v>0</v>
      </c>
      <c r="J21" s="64"/>
      <c r="K21" s="64"/>
      <c r="L21" s="64"/>
      <c r="M21" s="64"/>
      <c r="N21" s="64"/>
      <c r="O21" s="64"/>
      <c r="P21" s="64"/>
      <c r="Q21" s="64"/>
      <c r="R21" s="64"/>
      <c r="S21" s="64"/>
      <c r="T21" s="64"/>
      <c r="U21" s="64"/>
      <c r="V21" s="64"/>
      <c r="W21" s="64"/>
      <c r="X21" s="64"/>
      <c r="Y21" s="64"/>
      <c r="Z21" s="64"/>
      <c r="AA21" s="64"/>
      <c r="AB21" s="64"/>
      <c r="AC21" s="64"/>
      <c r="AD21" s="64"/>
      <c r="AE21" s="64"/>
      <c r="AF21" s="64"/>
      <c r="AG21" s="64"/>
      <c r="AH21" s="64"/>
      <c r="AI21" s="64"/>
      <c r="AJ21" s="64"/>
      <c r="AK21" s="64"/>
      <c r="AL21" s="64"/>
      <c r="AM21" s="64"/>
      <c r="AN21" s="64"/>
      <c r="AO21" s="64"/>
      <c r="AP21" s="64"/>
      <c r="AQ21" s="64"/>
      <c r="AR21" s="64"/>
      <c r="AS21" s="64"/>
      <c r="AT21" s="64"/>
      <c r="AU21" s="64"/>
      <c r="AV21" s="64"/>
      <c r="AW21" s="64"/>
      <c r="AX21" s="64"/>
      <c r="AY21" s="64"/>
      <c r="AZ21" s="64"/>
      <c r="BA21" s="64"/>
      <c r="BB21" s="64"/>
      <c r="BC21" s="64"/>
      <c r="BD21" s="64"/>
      <c r="BE21" s="64"/>
      <c r="BF21" s="64"/>
      <c r="BG21" s="64"/>
      <c r="BH21" s="64"/>
      <c r="BI21" s="64"/>
      <c r="BJ21" s="64"/>
      <c r="BK21" s="64"/>
      <c r="BL21" s="64"/>
      <c r="BM21" s="64"/>
      <c r="BN21" s="64"/>
      <c r="BO21" s="64"/>
      <c r="BP21" s="64"/>
      <c r="BQ21" s="64"/>
      <c r="BR21" s="64"/>
      <c r="BS21" s="64"/>
      <c r="BT21" s="64"/>
    </row>
    <row r="22" spans="1:72" x14ac:dyDescent="0.35">
      <c r="A22" s="1"/>
      <c r="B22" s="105" t="s">
        <v>216</v>
      </c>
      <c r="C22" s="521"/>
      <c r="D22" s="533"/>
      <c r="E22" s="106"/>
      <c r="F22" s="1"/>
      <c r="H22" s="118">
        <f>C22</f>
        <v>0</v>
      </c>
    </row>
    <row r="23" spans="1:72" ht="15.75" customHeight="1" x14ac:dyDescent="0.35">
      <c r="A23" s="1"/>
      <c r="B23" s="1"/>
      <c r="C23" s="1"/>
      <c r="D23" s="106"/>
      <c r="E23" s="1"/>
      <c r="F23" s="1"/>
    </row>
    <row r="25" spans="1:72" ht="15.5" x14ac:dyDescent="0.35">
      <c r="A25" s="1"/>
      <c r="B25" s="61" t="s">
        <v>96</v>
      </c>
      <c r="C25" s="1"/>
      <c r="D25" s="1"/>
      <c r="E25" s="1"/>
      <c r="F25" s="1"/>
    </row>
    <row r="26" spans="1:72" ht="15.5" x14ac:dyDescent="0.35">
      <c r="A26" s="1"/>
      <c r="B26" s="61"/>
      <c r="C26" s="1"/>
      <c r="D26" s="1"/>
      <c r="E26" s="1"/>
      <c r="F26" s="1"/>
    </row>
    <row r="27" spans="1:72" x14ac:dyDescent="0.35">
      <c r="A27" s="1"/>
      <c r="B27" s="102" t="s">
        <v>84</v>
      </c>
      <c r="C27" s="102" t="s">
        <v>85</v>
      </c>
      <c r="D27" s="1"/>
      <c r="E27" s="1"/>
      <c r="F27" s="1"/>
      <c r="H27" s="115"/>
    </row>
    <row r="28" spans="1:72" s="1" customFormat="1" x14ac:dyDescent="0.35">
      <c r="B28" s="105" t="s">
        <v>187</v>
      </c>
      <c r="C28" s="145">
        <f>Assumptions!D97</f>
        <v>0.39</v>
      </c>
      <c r="G28" s="64"/>
      <c r="H28" s="135">
        <f>C28</f>
        <v>0.39</v>
      </c>
      <c r="I28" s="166"/>
      <c r="J28" s="64"/>
      <c r="K28" s="64"/>
      <c r="L28" s="64"/>
      <c r="M28" s="64"/>
      <c r="N28" s="64"/>
      <c r="O28" s="64"/>
      <c r="P28" s="64"/>
      <c r="Q28" s="64"/>
      <c r="R28" s="64"/>
      <c r="S28" s="64"/>
      <c r="T28" s="64"/>
      <c r="U28" s="64"/>
      <c r="V28" s="64"/>
      <c r="W28" s="64"/>
      <c r="X28" s="64"/>
      <c r="Y28" s="64"/>
      <c r="Z28" s="64"/>
      <c r="AA28" s="64"/>
      <c r="AB28" s="64"/>
      <c r="AC28" s="64"/>
      <c r="AD28" s="64"/>
      <c r="AE28" s="64"/>
      <c r="AF28" s="64"/>
      <c r="AG28" s="64"/>
      <c r="AH28" s="64"/>
      <c r="AI28" s="64"/>
      <c r="AJ28" s="64"/>
      <c r="AK28" s="64"/>
      <c r="AL28" s="64"/>
      <c r="AM28" s="64"/>
      <c r="AN28" s="64"/>
      <c r="AO28" s="64"/>
      <c r="AP28" s="64"/>
      <c r="AQ28" s="64"/>
      <c r="AR28" s="64"/>
      <c r="AS28" s="64"/>
      <c r="AT28" s="64"/>
      <c r="AU28" s="64"/>
      <c r="AV28" s="64"/>
      <c r="AW28" s="64"/>
      <c r="AX28" s="64"/>
      <c r="AY28" s="64"/>
      <c r="AZ28" s="64"/>
      <c r="BA28" s="64"/>
      <c r="BB28" s="64"/>
      <c r="BC28" s="64"/>
      <c r="BD28" s="64"/>
      <c r="BE28" s="64"/>
      <c r="BF28" s="64"/>
      <c r="BG28" s="64"/>
      <c r="BH28" s="64"/>
      <c r="BI28" s="64"/>
      <c r="BJ28" s="64"/>
      <c r="BK28" s="64"/>
      <c r="BL28" s="64"/>
      <c r="BM28" s="64"/>
      <c r="BN28" s="64"/>
      <c r="BO28" s="64"/>
      <c r="BP28" s="64"/>
      <c r="BQ28" s="64"/>
      <c r="BR28" s="64"/>
      <c r="BS28" s="64"/>
      <c r="BT28" s="64"/>
    </row>
    <row r="29" spans="1:72" s="1" customFormat="1" x14ac:dyDescent="0.35">
      <c r="B29" s="105" t="s">
        <v>188</v>
      </c>
      <c r="C29" s="145">
        <f>Assumptions!D98</f>
        <v>0.55000000000000004</v>
      </c>
      <c r="G29" s="135"/>
      <c r="H29" s="135">
        <f>C29</f>
        <v>0.55000000000000004</v>
      </c>
      <c r="I29" s="166"/>
      <c r="J29" s="64"/>
      <c r="K29" s="64"/>
      <c r="L29" s="64"/>
      <c r="M29" s="64"/>
      <c r="N29" s="64"/>
      <c r="O29" s="64"/>
      <c r="P29" s="64"/>
      <c r="Q29" s="64"/>
      <c r="R29" s="64"/>
      <c r="S29" s="64"/>
      <c r="T29" s="64"/>
      <c r="U29" s="64"/>
      <c r="V29" s="64"/>
      <c r="W29" s="64"/>
      <c r="X29" s="64"/>
      <c r="Y29" s="64"/>
      <c r="Z29" s="64"/>
      <c r="AA29" s="64"/>
      <c r="AB29" s="64"/>
      <c r="AC29" s="64"/>
      <c r="AD29" s="64"/>
      <c r="AE29" s="64"/>
      <c r="AF29" s="64"/>
      <c r="AG29" s="64"/>
      <c r="AH29" s="64"/>
      <c r="AI29" s="64"/>
      <c r="AJ29" s="64"/>
      <c r="AK29" s="64"/>
      <c r="AL29" s="64"/>
      <c r="AM29" s="64"/>
      <c r="AN29" s="64"/>
      <c r="AO29" s="64"/>
      <c r="AP29" s="64"/>
      <c r="AQ29" s="64"/>
      <c r="AR29" s="64"/>
      <c r="AS29" s="64"/>
      <c r="AT29" s="64"/>
      <c r="AU29" s="64"/>
      <c r="AV29" s="64"/>
      <c r="AW29" s="64"/>
      <c r="AX29" s="64"/>
      <c r="AY29" s="64"/>
      <c r="AZ29" s="64"/>
      <c r="BA29" s="64"/>
      <c r="BB29" s="64"/>
      <c r="BC29" s="64"/>
      <c r="BD29" s="64"/>
      <c r="BE29" s="64"/>
      <c r="BF29" s="64"/>
      <c r="BG29" s="64"/>
      <c r="BH29" s="64"/>
      <c r="BI29" s="64"/>
      <c r="BJ29" s="64"/>
      <c r="BK29" s="64"/>
      <c r="BL29" s="64"/>
      <c r="BM29" s="64"/>
      <c r="BN29" s="64"/>
      <c r="BO29" s="64"/>
      <c r="BP29" s="64"/>
      <c r="BQ29" s="64"/>
      <c r="BR29" s="64"/>
      <c r="BS29" s="64"/>
      <c r="BT29" s="64"/>
    </row>
    <row r="30" spans="1:72" x14ac:dyDescent="0.35">
      <c r="A30" s="1"/>
      <c r="B30" s="111" t="s">
        <v>217</v>
      </c>
      <c r="C30" s="332" t="e">
        <f>((H14/H17)-(H14/H18))*60</f>
        <v>#DIV/0!</v>
      </c>
      <c r="D30" s="1"/>
      <c r="E30" s="1"/>
      <c r="F30" s="1"/>
      <c r="H30" s="124" t="e">
        <f>C30</f>
        <v>#DIV/0!</v>
      </c>
    </row>
    <row r="31" spans="1:72" x14ac:dyDescent="0.35">
      <c r="A31" s="1"/>
      <c r="B31" s="111" t="s">
        <v>218</v>
      </c>
      <c r="C31" s="333">
        <f>H16*H14</f>
        <v>0</v>
      </c>
      <c r="D31" s="1"/>
      <c r="E31" s="1"/>
      <c r="F31" s="1"/>
      <c r="H31" s="126">
        <f>C31</f>
        <v>0</v>
      </c>
    </row>
    <row r="32" spans="1:72" x14ac:dyDescent="0.35">
      <c r="A32" s="1"/>
      <c r="B32" s="106" t="s">
        <v>219</v>
      </c>
      <c r="C32" s="440" t="e">
        <f>H32</f>
        <v>#N/A</v>
      </c>
      <c r="D32" s="1"/>
      <c r="E32" s="1"/>
      <c r="F32" s="1"/>
      <c r="H32" s="296" t="e">
        <f>VLOOKUP(C22,Assumptions!B101:D107,3,FALSE)</f>
        <v>#N/A</v>
      </c>
    </row>
    <row r="33" spans="1:17" x14ac:dyDescent="0.35">
      <c r="A33" s="1"/>
      <c r="B33" s="106" t="s">
        <v>220</v>
      </c>
      <c r="C33" s="440">
        <f>H33</f>
        <v>0</v>
      </c>
      <c r="D33" s="1"/>
      <c r="E33" s="1"/>
      <c r="F33" s="1"/>
      <c r="H33" s="126">
        <f>IF(H14&gt;1,H32*H21/H20*H31,0)</f>
        <v>0</v>
      </c>
    </row>
    <row r="34" spans="1:17" ht="15.75" customHeight="1" x14ac:dyDescent="0.35">
      <c r="A34" s="1"/>
      <c r="B34" s="1"/>
      <c r="C34" s="1"/>
      <c r="D34" s="1"/>
      <c r="E34" s="1"/>
      <c r="F34" s="1"/>
    </row>
    <row r="35" spans="1:17" x14ac:dyDescent="0.35">
      <c r="K35" s="64" t="s">
        <v>128</v>
      </c>
    </row>
    <row r="36" spans="1:17" ht="15.5" x14ac:dyDescent="0.35">
      <c r="A36" s="1"/>
      <c r="B36" s="61" t="s">
        <v>99</v>
      </c>
      <c r="C36" s="1"/>
      <c r="D36" s="1"/>
      <c r="E36" s="1"/>
      <c r="F36" s="1"/>
      <c r="K36" s="56" t="s">
        <v>100</v>
      </c>
      <c r="L36" s="57" t="s">
        <v>150</v>
      </c>
      <c r="M36" s="57" t="s">
        <v>102</v>
      </c>
      <c r="N36" s="57" t="s">
        <v>151</v>
      </c>
      <c r="O36" s="58">
        <v>2018</v>
      </c>
      <c r="P36" s="59">
        <v>2030</v>
      </c>
      <c r="Q36" s="59">
        <v>2040</v>
      </c>
    </row>
    <row r="37" spans="1:17" x14ac:dyDescent="0.35">
      <c r="A37" s="1"/>
      <c r="B37" s="102"/>
      <c r="C37" s="102"/>
      <c r="D37" s="102"/>
      <c r="E37" s="102"/>
      <c r="F37" s="1"/>
      <c r="H37" s="115"/>
      <c r="K37" s="84" t="s">
        <v>221</v>
      </c>
      <c r="L37" s="90"/>
      <c r="M37" s="90"/>
      <c r="N37" s="90"/>
      <c r="O37" s="94"/>
      <c r="P37" s="189"/>
      <c r="Q37" s="189"/>
    </row>
    <row r="38" spans="1:17" x14ac:dyDescent="0.35">
      <c r="A38" s="1"/>
      <c r="B38" s="102" t="s">
        <v>84</v>
      </c>
      <c r="C38" s="102" t="s">
        <v>85</v>
      </c>
      <c r="D38" s="1"/>
      <c r="E38" s="1"/>
      <c r="F38" s="1"/>
      <c r="H38" s="115"/>
      <c r="K38" s="85" t="s">
        <v>203</v>
      </c>
      <c r="L38" s="86" t="s">
        <v>106</v>
      </c>
      <c r="M38" s="87">
        <f>$H$17</f>
        <v>0</v>
      </c>
      <c r="N38" s="86" t="s">
        <v>107</v>
      </c>
      <c r="O38" s="92" t="e">
        <f>TREND($O$49:$O$50,$M$49:$M$50,M38)</f>
        <v>#VALUE!</v>
      </c>
      <c r="P38" s="306" t="e">
        <f>TREND($P$49:$P$50,$M$49:$M$50,M38)</f>
        <v>#VALUE!</v>
      </c>
      <c r="Q38" s="306" t="e">
        <f>TREND($Q$49:$Q$50,$M$49:$M$50,M38)</f>
        <v>#VALUE!</v>
      </c>
    </row>
    <row r="39" spans="1:17" x14ac:dyDescent="0.35">
      <c r="A39" s="1"/>
      <c r="B39" s="105" t="s">
        <v>222</v>
      </c>
      <c r="C39" s="108" t="e">
        <f>IF($H$13&lt;2030,FORECAST($H$13,O38:P38,$O$36:$P$36),FORECAST($H$13,P38:Q38,$P$36:$Q$36))</f>
        <v>#VALUE!</v>
      </c>
      <c r="D39" s="1"/>
      <c r="E39" s="1"/>
      <c r="F39" s="1"/>
      <c r="H39" s="120" t="e">
        <f>C39</f>
        <v>#VALUE!</v>
      </c>
      <c r="K39" s="85" t="s">
        <v>203</v>
      </c>
      <c r="L39" s="86" t="s">
        <v>109</v>
      </c>
      <c r="M39" s="87">
        <f>$H$17</f>
        <v>0</v>
      </c>
      <c r="N39" s="86" t="s">
        <v>107</v>
      </c>
      <c r="O39" s="92" t="e">
        <f>TREND($O$51:$O$52,$M$51:$M$52,M39)</f>
        <v>#VALUE!</v>
      </c>
      <c r="P39" s="306" t="e">
        <f>TREND($P$51:$P$52,$M$51:$M$52,M39)</f>
        <v>#VALUE!</v>
      </c>
      <c r="Q39" s="306" t="e">
        <f>TREND($Q$51:$Q$52,$M$51:$M$52,M39)</f>
        <v>#VALUE!</v>
      </c>
    </row>
    <row r="40" spans="1:17" x14ac:dyDescent="0.35">
      <c r="A40" s="1"/>
      <c r="B40" s="105" t="s">
        <v>223</v>
      </c>
      <c r="C40" s="108" t="e">
        <f>IF($H$13&lt;2030,FORECAST($H$13,O39:P39,$O$36:$P$36),FORECAST($H$13,P39:Q39,$P$36:$Q$36))</f>
        <v>#VALUE!</v>
      </c>
      <c r="D40" s="1"/>
      <c r="E40" s="1"/>
      <c r="F40" s="1"/>
      <c r="H40" s="120" t="e">
        <f t="shared" ref="H40:H48" si="3">C40</f>
        <v>#VALUE!</v>
      </c>
      <c r="K40" s="85" t="s">
        <v>203</v>
      </c>
      <c r="L40" s="86" t="s">
        <v>111</v>
      </c>
      <c r="M40" s="87">
        <f>$H$17</f>
        <v>0</v>
      </c>
      <c r="N40" s="86" t="s">
        <v>107</v>
      </c>
      <c r="O40" s="92" t="e">
        <f>TREND($O$53:$O$54,$M$53:$M$54,M40)</f>
        <v>#VALUE!</v>
      </c>
      <c r="P40" s="306" t="e">
        <f>TREND($P$53:$P$54,$M$53:$M$54,M40)</f>
        <v>#VALUE!</v>
      </c>
      <c r="Q40" s="306" t="e">
        <f>TREND($Q$53:$Q$54,$M$53:$M$54,M40)</f>
        <v>#VALUE!</v>
      </c>
    </row>
    <row r="41" spans="1:17" x14ac:dyDescent="0.35">
      <c r="A41" s="1"/>
      <c r="B41" s="105" t="s">
        <v>224</v>
      </c>
      <c r="C41" s="108" t="e">
        <f>IF($H$13&lt;2030,FORECAST($H$13,O40:P40,$O$36:$P$36),FORECAST($H$13,P40:Q40,$P$36:$Q$36))</f>
        <v>#VALUE!</v>
      </c>
      <c r="D41" s="1"/>
      <c r="E41" s="1"/>
      <c r="F41" s="1"/>
      <c r="H41" s="120" t="e">
        <f t="shared" si="3"/>
        <v>#VALUE!</v>
      </c>
      <c r="K41" s="85" t="s">
        <v>203</v>
      </c>
      <c r="L41" s="86" t="s">
        <v>113</v>
      </c>
      <c r="M41" s="87">
        <f>$H$17</f>
        <v>0</v>
      </c>
      <c r="N41" s="86" t="s">
        <v>107</v>
      </c>
      <c r="O41" s="92" t="e">
        <f>TREND($O$55:$O$56,$M$55:$M$56,M41)</f>
        <v>#VALUE!</v>
      </c>
      <c r="P41" s="306" t="e">
        <f>TREND($P$55:$P$56,$M$55:$M$56,M41)</f>
        <v>#VALUE!</v>
      </c>
      <c r="Q41" s="306" t="e">
        <f>TREND($Q$55:$Q$56,$M$55:$M$56,M41)</f>
        <v>#VALUE!</v>
      </c>
    </row>
    <row r="42" spans="1:17" x14ac:dyDescent="0.35">
      <c r="A42" s="1"/>
      <c r="B42" s="105" t="s">
        <v>225</v>
      </c>
      <c r="C42" s="108" t="e">
        <f>IF($H$13&lt;2030,FORECAST($H$13,O41:P41,$O$36:$P$36),FORECAST($H$13,P41:Q41,$P$36:$Q$36))</f>
        <v>#VALUE!</v>
      </c>
      <c r="D42" s="1"/>
      <c r="E42" s="1"/>
      <c r="F42" s="1"/>
      <c r="H42" s="120" t="e">
        <f t="shared" si="3"/>
        <v>#VALUE!</v>
      </c>
      <c r="K42" s="85" t="s">
        <v>203</v>
      </c>
      <c r="L42" s="54" t="s">
        <v>115</v>
      </c>
      <c r="M42" s="87">
        <f>$H$17</f>
        <v>0</v>
      </c>
      <c r="N42" s="54" t="s">
        <v>107</v>
      </c>
      <c r="O42" s="92" t="e">
        <f>TREND($O$57:$O$58,$M$57:$M$58,M42)</f>
        <v>#VALUE!</v>
      </c>
      <c r="P42" s="306" t="e">
        <f>TREND($P$57:$P$58,$M$57:$M$58,M42)</f>
        <v>#VALUE!</v>
      </c>
      <c r="Q42" s="306" t="e">
        <f>TREND($Q$57:$Q$58,$M$57:$M$58,M42)</f>
        <v>#VALUE!</v>
      </c>
    </row>
    <row r="43" spans="1:17" x14ac:dyDescent="0.35">
      <c r="A43" s="1"/>
      <c r="B43" s="105" t="s">
        <v>226</v>
      </c>
      <c r="C43" s="108" t="e">
        <f>IF($H$13&lt;2030,FORECAST($H$13,O42:P42,$O$36:$P$36),FORECAST($H$13,P42:Q42,$P$36:$Q$36))</f>
        <v>#VALUE!</v>
      </c>
      <c r="D43" s="1"/>
      <c r="E43" s="1"/>
      <c r="F43" s="1"/>
      <c r="H43" s="120" t="e">
        <f t="shared" si="3"/>
        <v>#VALUE!</v>
      </c>
      <c r="K43" s="84" t="s">
        <v>227</v>
      </c>
      <c r="L43" s="90"/>
      <c r="M43" s="90"/>
      <c r="N43" s="235" t="s">
        <v>107</v>
      </c>
      <c r="O43" s="94"/>
      <c r="P43" s="307"/>
      <c r="Q43" s="307"/>
    </row>
    <row r="44" spans="1:17" x14ac:dyDescent="0.35">
      <c r="A44" s="1"/>
      <c r="B44" s="105" t="s">
        <v>228</v>
      </c>
      <c r="C44" s="108" t="e">
        <f>IF($H$13&lt;2030,FORECAST($H$13,O44:P44,$O$36:$P$36),FORECAST($H$13,P44:Q44,$P$36:$Q$36))</f>
        <v>#VALUE!</v>
      </c>
      <c r="D44" s="1"/>
      <c r="E44" s="1"/>
      <c r="F44" s="1"/>
      <c r="H44" s="120" t="e">
        <f t="shared" si="3"/>
        <v>#VALUE!</v>
      </c>
      <c r="K44" s="85" t="s">
        <v>203</v>
      </c>
      <c r="L44" s="86" t="s">
        <v>106</v>
      </c>
      <c r="M44" s="87">
        <f>$H$18</f>
        <v>0</v>
      </c>
      <c r="N44" s="86" t="s">
        <v>107</v>
      </c>
      <c r="O44" s="92" t="e">
        <f>TREND($O$49:$O$50,$M$49:$M$50,M44)</f>
        <v>#VALUE!</v>
      </c>
      <c r="P44" s="306" t="e">
        <f>TREND($P$49:$P$50,$M$49:$M$50,M44)</f>
        <v>#VALUE!</v>
      </c>
      <c r="Q44" s="306" t="e">
        <f>TREND($Q$49:$Q$50,$M$49:$M$50,M44)</f>
        <v>#VALUE!</v>
      </c>
    </row>
    <row r="45" spans="1:17" x14ac:dyDescent="0.35">
      <c r="A45" s="1"/>
      <c r="B45" s="105" t="s">
        <v>229</v>
      </c>
      <c r="C45" s="108" t="e">
        <f>IF($H$13&lt;2030,FORECAST($H$13,O45:P45,$O$36:$P$36),FORECAST($H$13,P45:Q45,$P$36:$Q$36))</f>
        <v>#VALUE!</v>
      </c>
      <c r="D45" s="1"/>
      <c r="E45" s="1"/>
      <c r="F45" s="1"/>
      <c r="H45" s="120" t="e">
        <f t="shared" si="3"/>
        <v>#VALUE!</v>
      </c>
      <c r="K45" s="85" t="s">
        <v>203</v>
      </c>
      <c r="L45" s="86" t="s">
        <v>109</v>
      </c>
      <c r="M45" s="87">
        <f t="shared" ref="M45:M48" si="4">$H$18</f>
        <v>0</v>
      </c>
      <c r="N45" s="86" t="s">
        <v>107</v>
      </c>
      <c r="O45" s="92" t="e">
        <f>TREND($O$51:$O$52,$M$51:$M$52,M45)</f>
        <v>#VALUE!</v>
      </c>
      <c r="P45" s="306" t="e">
        <f>TREND($P$51:$P$52,$M$51:$M$52,M45)</f>
        <v>#VALUE!</v>
      </c>
      <c r="Q45" s="306" t="e">
        <f>TREND($Q$51:$Q$52,$M$51:$M$52,M45)</f>
        <v>#VALUE!</v>
      </c>
    </row>
    <row r="46" spans="1:17" ht="12.75" customHeight="1" x14ac:dyDescent="0.35">
      <c r="A46" s="1"/>
      <c r="B46" s="105" t="s">
        <v>230</v>
      </c>
      <c r="C46" s="108" t="e">
        <f>IF($H$13&lt;2030,FORECAST($H$13,O46:P46,$O$36:$P$36),FORECAST($H$13,P46:Q46,$P$36:$Q$36))</f>
        <v>#VALUE!</v>
      </c>
      <c r="D46" s="1"/>
      <c r="E46" s="1"/>
      <c r="F46" s="1"/>
      <c r="H46" s="120" t="e">
        <f t="shared" si="3"/>
        <v>#VALUE!</v>
      </c>
      <c r="K46" s="85" t="s">
        <v>203</v>
      </c>
      <c r="L46" s="86" t="s">
        <v>111</v>
      </c>
      <c r="M46" s="87">
        <f t="shared" si="4"/>
        <v>0</v>
      </c>
      <c r="N46" s="86" t="s">
        <v>107</v>
      </c>
      <c r="O46" s="92" t="e">
        <f>TREND($O$53:$O$54,$M$53:$M$54,M46)</f>
        <v>#VALUE!</v>
      </c>
      <c r="P46" s="306" t="e">
        <f>TREND($P$53:$P$54,$M$53:$M$54,M46)</f>
        <v>#VALUE!</v>
      </c>
      <c r="Q46" s="306" t="e">
        <f>TREND($Q$53:$Q$54,$M$53:$M$54,M46)</f>
        <v>#VALUE!</v>
      </c>
    </row>
    <row r="47" spans="1:17" x14ac:dyDescent="0.35">
      <c r="A47" s="1"/>
      <c r="B47" s="105" t="s">
        <v>231</v>
      </c>
      <c r="C47" s="108" t="e">
        <f>IF($H$13&lt;2030,FORECAST($H$13,O47:P47,$O$36:$P$36),FORECAST($H$13,P47:Q47,$P$36:$Q$36))</f>
        <v>#VALUE!</v>
      </c>
      <c r="D47" s="1"/>
      <c r="E47" s="1"/>
      <c r="F47" s="1"/>
      <c r="H47" s="120" t="e">
        <f t="shared" si="3"/>
        <v>#VALUE!</v>
      </c>
      <c r="K47" s="85" t="s">
        <v>203</v>
      </c>
      <c r="L47" s="86" t="s">
        <v>113</v>
      </c>
      <c r="M47" s="87">
        <f t="shared" si="4"/>
        <v>0</v>
      </c>
      <c r="N47" s="86" t="s">
        <v>107</v>
      </c>
      <c r="O47" s="92" t="e">
        <f>TREND($O$55:$O$56,$M$55:$M$56,M47)</f>
        <v>#VALUE!</v>
      </c>
      <c r="P47" s="306" t="e">
        <f>TREND($P$55:$P$56,$M$55:$M$56,M47)</f>
        <v>#VALUE!</v>
      </c>
      <c r="Q47" s="306" t="e">
        <f>TREND($Q$55:$Q$56,$M$55:$M$56,M47)</f>
        <v>#VALUE!</v>
      </c>
    </row>
    <row r="48" spans="1:17" ht="15" customHeight="1" x14ac:dyDescent="0.35">
      <c r="A48" s="1"/>
      <c r="B48" s="105" t="s">
        <v>232</v>
      </c>
      <c r="C48" s="108" t="e">
        <f>IF($H$13&lt;2030,FORECAST($H$13,O48:P48,$O$36:$P$36),FORECAST($H$13,P48:Q48,$P$36:$Q$36))</f>
        <v>#VALUE!</v>
      </c>
      <c r="D48" s="1"/>
      <c r="E48" s="1"/>
      <c r="F48" s="1"/>
      <c r="H48" s="120" t="e">
        <f t="shared" si="3"/>
        <v>#VALUE!</v>
      </c>
      <c r="K48" s="91" t="s">
        <v>203</v>
      </c>
      <c r="L48" s="88" t="s">
        <v>115</v>
      </c>
      <c r="M48" s="89">
        <f t="shared" si="4"/>
        <v>0</v>
      </c>
      <c r="N48" s="88" t="s">
        <v>107</v>
      </c>
      <c r="O48" s="93" t="e">
        <f>TREND($O$57:$O$58,$M$57:$M$58,M48)</f>
        <v>#VALUE!</v>
      </c>
      <c r="P48" s="308" t="e">
        <f>TREND($P$57:$P$58,$M$57:$M$58,M48)</f>
        <v>#VALUE!</v>
      </c>
      <c r="Q48" s="308" t="e">
        <f>TREND($Q$57:$Q$58,$M$57:$M$58,M48)</f>
        <v>#VALUE!</v>
      </c>
    </row>
    <row r="49" spans="1:17" ht="15" customHeight="1" x14ac:dyDescent="0.35">
      <c r="A49" s="1"/>
      <c r="B49" s="1"/>
      <c r="C49" s="1"/>
      <c r="D49" s="1"/>
      <c r="E49" s="1"/>
      <c r="F49" s="1"/>
      <c r="H49" s="120"/>
      <c r="K49" s="236" t="s">
        <v>203</v>
      </c>
      <c r="L49" s="229" t="s">
        <v>106</v>
      </c>
      <c r="M49" s="237">
        <f>IF(ROUNDDOWN(('Increase Corridor Speed'!$H$17/5),0)*5 = 15,10,ROUNDDOWN(('Increase Corridor Speed'!$H$17/5),0)*5)</f>
        <v>0</v>
      </c>
      <c r="N49" s="229" t="s">
        <v>107</v>
      </c>
      <c r="O49" s="238" t="e">
        <f>($H$19*O69)+((1-$H$19)*O59)</f>
        <v>#N/A</v>
      </c>
      <c r="P49" s="239" t="e">
        <f>($H$19*P69)+((1-$H$19)*P59)</f>
        <v>#N/A</v>
      </c>
      <c r="Q49" s="239" t="e">
        <f>($H$19*Q69)+((1-$H$19)*Q59)</f>
        <v>#N/A</v>
      </c>
    </row>
    <row r="50" spans="1:17" ht="15" hidden="1" customHeight="1" x14ac:dyDescent="0.35">
      <c r="H50" s="120"/>
      <c r="K50" s="85" t="s">
        <v>203</v>
      </c>
      <c r="L50" s="86" t="s">
        <v>106</v>
      </c>
      <c r="M50" s="87">
        <f>IF(ROUNDUP(('Increase Corridor Speed'!$H$18/5),0)*5=15,20,ROUNDUP('Increase Corridor Speed'!$H$18/5,0)*5)</f>
        <v>0</v>
      </c>
      <c r="N50" s="86" t="s">
        <v>107</v>
      </c>
      <c r="O50" s="92" t="e">
        <f t="shared" ref="O50:P58" si="5">($H$19*O70)+((1-$H$19)*O60)</f>
        <v>#N/A</v>
      </c>
      <c r="P50" s="190" t="e">
        <f t="shared" si="5"/>
        <v>#N/A</v>
      </c>
      <c r="Q50" s="190" t="e">
        <f t="shared" ref="Q50" si="6">($H$19*Q70)+((1-$H$19)*Q60)</f>
        <v>#N/A</v>
      </c>
    </row>
    <row r="51" spans="1:17" ht="15" hidden="1" customHeight="1" x14ac:dyDescent="0.35">
      <c r="H51" s="120"/>
      <c r="K51" s="85" t="s">
        <v>203</v>
      </c>
      <c r="L51" s="86" t="s">
        <v>109</v>
      </c>
      <c r="M51" s="87">
        <f>IF(ROUNDDOWN(('Increase Corridor Speed'!$H$17/5),0)*5 = 15,10,ROUNDDOWN(('Increase Corridor Speed'!$H$17/5),0)*5)</f>
        <v>0</v>
      </c>
      <c r="N51" s="86" t="s">
        <v>107</v>
      </c>
      <c r="O51" s="92" t="e">
        <f t="shared" si="5"/>
        <v>#N/A</v>
      </c>
      <c r="P51" s="190" t="e">
        <f t="shared" si="5"/>
        <v>#N/A</v>
      </c>
      <c r="Q51" s="190" t="e">
        <f t="shared" ref="Q51" si="7">($H$19*Q71)+((1-$H$19)*Q61)</f>
        <v>#N/A</v>
      </c>
    </row>
    <row r="52" spans="1:17" ht="15" hidden="1" customHeight="1" x14ac:dyDescent="0.35">
      <c r="H52" s="120"/>
      <c r="K52" s="85" t="s">
        <v>203</v>
      </c>
      <c r="L52" s="86" t="s">
        <v>109</v>
      </c>
      <c r="M52" s="87">
        <f>IF(ROUNDUP(('Increase Corridor Speed'!$H$18/5),0)*5=15,20,ROUNDUP('Increase Corridor Speed'!$H$18/5,0)*5)</f>
        <v>0</v>
      </c>
      <c r="N52" s="86" t="s">
        <v>107</v>
      </c>
      <c r="O52" s="92" t="e">
        <f t="shared" si="5"/>
        <v>#N/A</v>
      </c>
      <c r="P52" s="190" t="e">
        <f t="shared" si="5"/>
        <v>#N/A</v>
      </c>
      <c r="Q52" s="190" t="e">
        <f t="shared" ref="Q52" si="8">($H$19*Q72)+((1-$H$19)*Q62)</f>
        <v>#N/A</v>
      </c>
    </row>
    <row r="53" spans="1:17" ht="15" hidden="1" customHeight="1" x14ac:dyDescent="0.35">
      <c r="H53" s="120"/>
      <c r="K53" s="85" t="s">
        <v>203</v>
      </c>
      <c r="L53" s="86" t="s">
        <v>111</v>
      </c>
      <c r="M53" s="87">
        <f>IF(ROUNDDOWN(('Increase Corridor Speed'!$H$17/5),0)*5 = 15,10,ROUNDDOWN(('Increase Corridor Speed'!$H$17/5),0)*5)</f>
        <v>0</v>
      </c>
      <c r="N53" s="86" t="s">
        <v>107</v>
      </c>
      <c r="O53" s="92" t="e">
        <f t="shared" si="5"/>
        <v>#N/A</v>
      </c>
      <c r="P53" s="190" t="e">
        <f t="shared" si="5"/>
        <v>#N/A</v>
      </c>
      <c r="Q53" s="190" t="e">
        <f t="shared" ref="Q53" si="9">($H$19*Q73)+((1-$H$19)*Q63)</f>
        <v>#N/A</v>
      </c>
    </row>
    <row r="54" spans="1:17" ht="15" hidden="1" customHeight="1" x14ac:dyDescent="0.35">
      <c r="H54" s="120"/>
      <c r="K54" s="85" t="s">
        <v>203</v>
      </c>
      <c r="L54" s="86" t="s">
        <v>111</v>
      </c>
      <c r="M54" s="87">
        <f>IF(ROUNDUP(('Increase Corridor Speed'!$H$18/5),0)*5=15,20,ROUNDUP('Increase Corridor Speed'!$H$18/5,0)*5)</f>
        <v>0</v>
      </c>
      <c r="N54" s="86" t="s">
        <v>107</v>
      </c>
      <c r="O54" s="92" t="e">
        <f t="shared" si="5"/>
        <v>#N/A</v>
      </c>
      <c r="P54" s="190" t="e">
        <f t="shared" si="5"/>
        <v>#N/A</v>
      </c>
      <c r="Q54" s="190" t="e">
        <f t="shared" ref="Q54" si="10">($H$19*Q74)+((1-$H$19)*Q64)</f>
        <v>#N/A</v>
      </c>
    </row>
    <row r="55" spans="1:17" ht="15" hidden="1" customHeight="1" x14ac:dyDescent="0.35">
      <c r="H55" s="120"/>
      <c r="K55" s="85" t="s">
        <v>203</v>
      </c>
      <c r="L55" s="86" t="s">
        <v>113</v>
      </c>
      <c r="M55" s="87">
        <f>IF(ROUNDDOWN(('Increase Corridor Speed'!$H$17/5),0)*5 = 15,10,ROUNDDOWN(('Increase Corridor Speed'!$H$17/5),0)*5)</f>
        <v>0</v>
      </c>
      <c r="N55" s="86" t="s">
        <v>107</v>
      </c>
      <c r="O55" s="92" t="e">
        <f t="shared" si="5"/>
        <v>#N/A</v>
      </c>
      <c r="P55" s="190" t="e">
        <f>($H$19*P75)+((1-$H$19)*P65)</f>
        <v>#N/A</v>
      </c>
      <c r="Q55" s="190" t="e">
        <f t="shared" ref="Q55" si="11">($H$19*Q75)+((1-$H$19)*Q65)</f>
        <v>#N/A</v>
      </c>
    </row>
    <row r="56" spans="1:17" ht="15" hidden="1" customHeight="1" x14ac:dyDescent="0.35">
      <c r="H56" s="120"/>
      <c r="K56" s="85" t="s">
        <v>203</v>
      </c>
      <c r="L56" s="86" t="s">
        <v>113</v>
      </c>
      <c r="M56" s="87">
        <f>IF(ROUNDUP(('Increase Corridor Speed'!$H$18/5),0)*5=15,20,ROUNDUP('Increase Corridor Speed'!$H$18/5,0)*5)</f>
        <v>0</v>
      </c>
      <c r="N56" s="86" t="s">
        <v>107</v>
      </c>
      <c r="O56" s="92" t="e">
        <f t="shared" si="5"/>
        <v>#N/A</v>
      </c>
      <c r="P56" s="190" t="e">
        <f t="shared" si="5"/>
        <v>#N/A</v>
      </c>
      <c r="Q56" s="190" t="e">
        <f t="shared" ref="Q56" si="12">($H$19*Q76)+((1-$H$19)*Q66)</f>
        <v>#N/A</v>
      </c>
    </row>
    <row r="57" spans="1:17" ht="15" hidden="1" customHeight="1" x14ac:dyDescent="0.35">
      <c r="H57" s="120"/>
      <c r="K57" s="85" t="s">
        <v>203</v>
      </c>
      <c r="L57" s="86" t="s">
        <v>115</v>
      </c>
      <c r="M57" s="87">
        <f>IF(ROUNDDOWN(('Increase Corridor Speed'!$H$17/5),0)*5 = 15,10,ROUNDDOWN(('Increase Corridor Speed'!$H$17/5),0)*5)</f>
        <v>0</v>
      </c>
      <c r="N57" s="86" t="s">
        <v>107</v>
      </c>
      <c r="O57" s="92" t="e">
        <f t="shared" si="5"/>
        <v>#N/A</v>
      </c>
      <c r="P57" s="190" t="e">
        <f t="shared" si="5"/>
        <v>#N/A</v>
      </c>
      <c r="Q57" s="190" t="e">
        <f t="shared" ref="Q57" si="13">($H$19*Q77)+((1-$H$19)*Q67)</f>
        <v>#N/A</v>
      </c>
    </row>
    <row r="58" spans="1:17" ht="15" hidden="1" customHeight="1" x14ac:dyDescent="0.35">
      <c r="H58" s="120"/>
      <c r="K58" s="91" t="s">
        <v>203</v>
      </c>
      <c r="L58" s="88" t="s">
        <v>115</v>
      </c>
      <c r="M58" s="232">
        <f>IF(ROUNDUP(('Increase Corridor Speed'!$H$18/5),0)*5=15,20,ROUNDUP('Increase Corridor Speed'!$H$18/5,0)*5)</f>
        <v>0</v>
      </c>
      <c r="N58" s="88" t="s">
        <v>107</v>
      </c>
      <c r="O58" s="93" t="e">
        <f t="shared" si="5"/>
        <v>#N/A</v>
      </c>
      <c r="P58" s="191" t="e">
        <f t="shared" si="5"/>
        <v>#N/A</v>
      </c>
      <c r="Q58" s="191" t="e">
        <f t="shared" ref="Q58" si="14">($H$19*Q78)+((1-$H$19)*Q68)</f>
        <v>#N/A</v>
      </c>
    </row>
    <row r="59" spans="1:17" ht="15" hidden="1" customHeight="1" x14ac:dyDescent="0.35">
      <c r="K59" s="236" t="s">
        <v>208</v>
      </c>
      <c r="L59" s="229" t="s">
        <v>106</v>
      </c>
      <c r="M59" s="237">
        <f>IF(ROUNDDOWN(('Increase Corridor Speed'!$H$17/5),0)*5 = 15,10,ROUNDDOWN(('Increase Corridor Speed'!$H$17/5),0)*5)</f>
        <v>0</v>
      </c>
      <c r="N59" s="229" t="s">
        <v>107</v>
      </c>
      <c r="O59" s="238" t="e">
        <f>'Emission Factors'!$Q19</f>
        <v>#N/A</v>
      </c>
      <c r="P59" s="239" t="e">
        <f>'Emission Factors'!$R19</f>
        <v>#N/A</v>
      </c>
      <c r="Q59" s="239" t="e">
        <f>'Emission Factors'!$S19</f>
        <v>#N/A</v>
      </c>
    </row>
    <row r="60" spans="1:17" hidden="1" x14ac:dyDescent="0.35">
      <c r="K60" s="85" t="s">
        <v>208</v>
      </c>
      <c r="L60" s="86" t="s">
        <v>106</v>
      </c>
      <c r="M60" s="87">
        <f>IF(ROUNDUP(('Increase Corridor Speed'!$H$18/5),0)*5=15,20,ROUNDUP('Increase Corridor Speed'!$H$18/5,0)*5)</f>
        <v>0</v>
      </c>
      <c r="N60" s="86" t="s">
        <v>107</v>
      </c>
      <c r="O60" s="92" t="e">
        <f>'Emission Factors'!$Q20</f>
        <v>#N/A</v>
      </c>
      <c r="P60" s="190" t="e">
        <f>'Emission Factors'!$R20</f>
        <v>#N/A</v>
      </c>
      <c r="Q60" s="190" t="e">
        <f>'Emission Factors'!$S20</f>
        <v>#N/A</v>
      </c>
    </row>
    <row r="61" spans="1:17" hidden="1" x14ac:dyDescent="0.35">
      <c r="K61" s="85" t="s">
        <v>208</v>
      </c>
      <c r="L61" s="86" t="s">
        <v>109</v>
      </c>
      <c r="M61" s="87">
        <f>IF(ROUNDDOWN(('Increase Corridor Speed'!$H$17/5),0)*5 = 15,10,ROUNDDOWN(('Increase Corridor Speed'!$H$17/5),0)*5)</f>
        <v>0</v>
      </c>
      <c r="N61" s="86" t="s">
        <v>107</v>
      </c>
      <c r="O61" s="92" t="e">
        <f>'Emission Factors'!$Q21</f>
        <v>#N/A</v>
      </c>
      <c r="P61" s="190" t="e">
        <f>'Emission Factors'!$R21</f>
        <v>#N/A</v>
      </c>
      <c r="Q61" s="190" t="e">
        <f>'Emission Factors'!$S21</f>
        <v>#N/A</v>
      </c>
    </row>
    <row r="62" spans="1:17" hidden="1" x14ac:dyDescent="0.35">
      <c r="K62" s="85" t="s">
        <v>208</v>
      </c>
      <c r="L62" s="86" t="s">
        <v>109</v>
      </c>
      <c r="M62" s="87">
        <f>IF(ROUNDUP(('Increase Corridor Speed'!$H$18/5),0)*5=15,20,ROUNDUP('Increase Corridor Speed'!$H$18/5,0)*5)</f>
        <v>0</v>
      </c>
      <c r="N62" s="86" t="s">
        <v>107</v>
      </c>
      <c r="O62" s="92" t="e">
        <f>'Emission Factors'!$Q22</f>
        <v>#N/A</v>
      </c>
      <c r="P62" s="190" t="e">
        <f>'Emission Factors'!$R22</f>
        <v>#N/A</v>
      </c>
      <c r="Q62" s="190" t="e">
        <f>'Emission Factors'!$S22</f>
        <v>#N/A</v>
      </c>
    </row>
    <row r="63" spans="1:17" hidden="1" x14ac:dyDescent="0.35">
      <c r="K63" s="85" t="s">
        <v>208</v>
      </c>
      <c r="L63" s="86" t="s">
        <v>111</v>
      </c>
      <c r="M63" s="87">
        <f>IF(ROUNDDOWN(('Increase Corridor Speed'!$H$17/5),0)*5 = 15,10,ROUNDDOWN(('Increase Corridor Speed'!$H$17/5),0)*5)</f>
        <v>0</v>
      </c>
      <c r="N63" s="86" t="s">
        <v>107</v>
      </c>
      <c r="O63" s="92" t="e">
        <f>'Emission Factors'!$Q23</f>
        <v>#N/A</v>
      </c>
      <c r="P63" s="190" t="e">
        <f>'Emission Factors'!$R23</f>
        <v>#N/A</v>
      </c>
      <c r="Q63" s="190" t="e">
        <f>'Emission Factors'!$S23</f>
        <v>#N/A</v>
      </c>
    </row>
    <row r="64" spans="1:17" hidden="1" x14ac:dyDescent="0.35">
      <c r="K64" s="85" t="s">
        <v>208</v>
      </c>
      <c r="L64" s="86" t="s">
        <v>111</v>
      </c>
      <c r="M64" s="87">
        <f>IF(ROUNDUP(('Increase Corridor Speed'!$H$18/5),0)*5=15,20,ROUNDUP('Increase Corridor Speed'!$H$18/5,0)*5)</f>
        <v>0</v>
      </c>
      <c r="N64" s="86" t="s">
        <v>107</v>
      </c>
      <c r="O64" s="92" t="e">
        <f>'Emission Factors'!$Q24</f>
        <v>#N/A</v>
      </c>
      <c r="P64" s="190" t="e">
        <f>'Emission Factors'!$R24</f>
        <v>#N/A</v>
      </c>
      <c r="Q64" s="190" t="e">
        <f>'Emission Factors'!$S24</f>
        <v>#N/A</v>
      </c>
    </row>
    <row r="65" spans="1:17" hidden="1" x14ac:dyDescent="0.35">
      <c r="K65" s="85" t="s">
        <v>208</v>
      </c>
      <c r="L65" s="86" t="s">
        <v>113</v>
      </c>
      <c r="M65" s="87">
        <f>IF(ROUNDDOWN(('Increase Corridor Speed'!$H$17/5),0)*5 = 15,10,ROUNDDOWN(('Increase Corridor Speed'!$H$17/5),0)*5)</f>
        <v>0</v>
      </c>
      <c r="N65" s="86" t="s">
        <v>107</v>
      </c>
      <c r="O65" s="92" t="e">
        <f>'Emission Factors'!$Q25</f>
        <v>#N/A</v>
      </c>
      <c r="P65" s="190" t="e">
        <f>'Emission Factors'!$R25</f>
        <v>#N/A</v>
      </c>
      <c r="Q65" s="190" t="e">
        <f>'Emission Factors'!$S25</f>
        <v>#N/A</v>
      </c>
    </row>
    <row r="66" spans="1:17" hidden="1" x14ac:dyDescent="0.35">
      <c r="K66" s="85" t="s">
        <v>208</v>
      </c>
      <c r="L66" s="86" t="s">
        <v>113</v>
      </c>
      <c r="M66" s="87">
        <f>IF(ROUNDUP(('Increase Corridor Speed'!$H$18/5),0)*5=15,20,ROUNDUP('Increase Corridor Speed'!$H$18/5,0)*5)</f>
        <v>0</v>
      </c>
      <c r="N66" s="86" t="s">
        <v>107</v>
      </c>
      <c r="O66" s="92" t="e">
        <f>'Emission Factors'!$Q26</f>
        <v>#N/A</v>
      </c>
      <c r="P66" s="190" t="e">
        <f>'Emission Factors'!$R26</f>
        <v>#N/A</v>
      </c>
      <c r="Q66" s="190" t="e">
        <f>'Emission Factors'!$S26</f>
        <v>#N/A</v>
      </c>
    </row>
    <row r="67" spans="1:17" hidden="1" x14ac:dyDescent="0.35">
      <c r="K67" s="85" t="s">
        <v>208</v>
      </c>
      <c r="L67" s="86" t="s">
        <v>115</v>
      </c>
      <c r="M67" s="87">
        <f>IF(ROUNDDOWN(('Increase Corridor Speed'!$H$17/5),0)*5 = 15,10,ROUNDDOWN(('Increase Corridor Speed'!$H$17/5),0)*5)</f>
        <v>0</v>
      </c>
      <c r="N67" s="86" t="s">
        <v>107</v>
      </c>
      <c r="O67" s="92" t="e">
        <f>'Emission Factors'!$Q27</f>
        <v>#N/A</v>
      </c>
      <c r="P67" s="190" t="e">
        <f>'Emission Factors'!$R27</f>
        <v>#N/A</v>
      </c>
      <c r="Q67" s="190" t="e">
        <f>'Emission Factors'!$S27</f>
        <v>#N/A</v>
      </c>
    </row>
    <row r="68" spans="1:17" hidden="1" x14ac:dyDescent="0.35">
      <c r="K68" s="91" t="s">
        <v>208</v>
      </c>
      <c r="L68" s="88" t="s">
        <v>115</v>
      </c>
      <c r="M68" s="89">
        <f>IF(ROUNDUP(('Increase Corridor Speed'!$H$18/5),0)*5=15,20,ROUNDUP('Increase Corridor Speed'!$H$18/5,0)*5)</f>
        <v>0</v>
      </c>
      <c r="N68" s="88" t="s">
        <v>107</v>
      </c>
      <c r="O68" s="93" t="e">
        <f>'Emission Factors'!$Q28</f>
        <v>#N/A</v>
      </c>
      <c r="P68" s="191" t="e">
        <f>'Emission Factors'!$R28</f>
        <v>#N/A</v>
      </c>
      <c r="Q68" s="191" t="e">
        <f>'Emission Factors'!$S28</f>
        <v>#N/A</v>
      </c>
    </row>
    <row r="69" spans="1:17" hidden="1" x14ac:dyDescent="0.35">
      <c r="K69" s="85" t="s">
        <v>136</v>
      </c>
      <c r="L69" s="86" t="s">
        <v>106</v>
      </c>
      <c r="M69" s="87">
        <f>IF(ROUNDDOWN(('Increase Corridor Speed'!$H$17/5),0)*5 = 15,10,ROUNDDOWN(('Increase Corridor Speed'!$H$17/5),0)*5)</f>
        <v>0</v>
      </c>
      <c r="N69" s="86" t="s">
        <v>107</v>
      </c>
      <c r="O69" s="92" t="e">
        <f>IF(L69="CO2eq",VLOOKUP(M69,'Emission Factors'!$G$3:$J$18,MATCH(K69,'Emission Factors'!$G$2:$J$2,0),0),IF(L69="CO",VLOOKUP($M69,'Emission Factors'!$G$19:$J$34,MATCH(K69,'Emission Factors'!$G$2:$J$2,0),0),IF(L69="PM2.5",VLOOKUP(M69,'Emission Factors'!$G$35:$J$50,MATCH(K69,'Emission Factors'!$G$2:$J$2,0),0),IF(L69="NOx",VLOOKUP(M69,'Emission Factors'!$G$51:$J$66,MATCH(K69,'Emission Factors'!$G$2:$J$2,0),0),VLOOKUP(M69,'Emission Factors'!$G$67:$J$82,MATCH(K69,'Emission Factors'!$G$2:$J$2,0),0)))))</f>
        <v>#N/A</v>
      </c>
      <c r="P69" s="190" t="e">
        <f>IF($L69="CO2eq",VLOOKUP($M69,'Emission Factors'!$G$88:$J$103,MATCH($K69,'Emission Factors'!$G$87:$J$87,0),0),IF(L69="CO",VLOOKUP($M69,'Emission Factors'!$G$104:$J$119,MATCH(K69,'Emission Factors'!$G$87:$J$87,0),0),IF(L69="PM2.5",VLOOKUP(M69,'Emission Factors'!$G$120:$J$135,MATCH(K69,'Emission Factors'!$G$87:$J$87,0),0),IF(L69="NOx",VLOOKUP(M69,'Emission Factors'!$G$136:$J$151,MATCH(K69,'Emission Factors'!$G$87:$J$87,0),0),VLOOKUP(M69,'Emission Factors'!$G$152:$J$167,MATCH(K69,'Emission Factors'!$G$87:$J$87,0),0)))))</f>
        <v>#N/A</v>
      </c>
      <c r="Q69" s="190" t="e">
        <f>IF($L69="CO2eq",VLOOKUP($M69, 'Emission Factors'!G$173:J$188,MATCH($K69,'Emission Factors'!$G$87:$J$87,0),0),IF(L69="CO",VLOOKUP($M69, 'Emission Factors'!G$189:J$204,MATCH(K69,'Emission Factors'!$G$87:$J$87,0),0),IF(L69="PM2.5",VLOOKUP(M69, 'Emission Factors'!G$205:J$220,MATCH(K69,'Emission Factors'!$G$87:$J$87,0),0),IF(L69="NOx",VLOOKUP(M69,'Emission Factors'!G$221:J$236,MATCH(K69,'Emission Factors'!$G$87:$J$87,0),0),VLOOKUP(M69,'Emission Factors'!G$237:J$252,MATCH(K69,'Emission Factors'!$G$87:$J$87,0),0)))))</f>
        <v>#N/A</v>
      </c>
    </row>
    <row r="70" spans="1:17" hidden="1" x14ac:dyDescent="0.35">
      <c r="K70" s="85" t="s">
        <v>136</v>
      </c>
      <c r="L70" s="86" t="s">
        <v>106</v>
      </c>
      <c r="M70" s="87">
        <f>IF(ROUNDUP(('Increase Corridor Speed'!$H$18/5),0)*5=15,20,ROUNDUP('Increase Corridor Speed'!$H$18/5,0)*5)</f>
        <v>0</v>
      </c>
      <c r="N70" s="86" t="s">
        <v>107</v>
      </c>
      <c r="O70" s="92" t="e">
        <f>IF(L70="CO2eq",VLOOKUP(M70,'Emission Factors'!$G$3:$J$18,MATCH(K70,'Emission Factors'!$G$2:$J$2,0),0),IF(L70="CO",VLOOKUP($M70,'Emission Factors'!$G$19:$J$34,MATCH(K70,'Emission Factors'!$G$2:$J$2,0),0),IF(L70="PM2.5",VLOOKUP(M70,'Emission Factors'!$G$35:$J$50,MATCH(K70,'Emission Factors'!$G$2:$J$2,0),0),IF(L70="NOx",VLOOKUP(M70,'Emission Factors'!$G$51:$J$66,MATCH(K70,'Emission Factors'!$G$2:$J$2,0),0),VLOOKUP(M70,'Emission Factors'!$G$67:$J$82,MATCH(K70,'Emission Factors'!$G$2:$J$2,0),0)))))</f>
        <v>#N/A</v>
      </c>
      <c r="P70" s="190" t="e">
        <f>IF($L70="CO2eq",VLOOKUP($M70,'Emission Factors'!$G$88:$J$103,MATCH($K70,'Emission Factors'!$G$87:$J$87,0),0),IF(L70="CO",VLOOKUP($M70,'Emission Factors'!$G$104:$J$119,MATCH(K70,'Emission Factors'!$G$87:$J$87,0),0),IF(L70="PM2.5",VLOOKUP(M70,'Emission Factors'!$G$120:$J$135,MATCH(K70,'Emission Factors'!$G$87:$J$87,0),0),IF(L70="NOx",VLOOKUP(M70,'Emission Factors'!$G$136:$J$151,MATCH(K70,'Emission Factors'!$G$87:$J$87,0),0),VLOOKUP(M70,'Emission Factors'!$G$152:$J$167,MATCH(K70,'Emission Factors'!$G$87:$J$87,0),0)))))</f>
        <v>#N/A</v>
      </c>
      <c r="Q70" s="190" t="e">
        <f>IF($L70="CO2eq",VLOOKUP($M70, 'Emission Factors'!G$173:J$188,MATCH($K70,'Emission Factors'!$G$87:$J$87,0),0),IF(L70="CO",VLOOKUP($M70, 'Emission Factors'!G$189:J$204,MATCH(K70,'Emission Factors'!$G$87:$J$87,0),0),IF(L70="PM2.5",VLOOKUP(M70, 'Emission Factors'!G$205:J$220,MATCH(K70,'Emission Factors'!$G$87:$J$87,0),0),IF(L70="NOx",VLOOKUP(M70,'Emission Factors'!G$221:J$236,MATCH(K70,'Emission Factors'!$G$87:$J$87,0),0),VLOOKUP(M70,'Emission Factors'!G$237:J$252,MATCH(K70,'Emission Factors'!$G$87:$J$87,0),0)))))</f>
        <v>#N/A</v>
      </c>
    </row>
    <row r="71" spans="1:17" hidden="1" x14ac:dyDescent="0.35">
      <c r="K71" s="85" t="s">
        <v>136</v>
      </c>
      <c r="L71" s="86" t="s">
        <v>109</v>
      </c>
      <c r="M71" s="87">
        <f>IF(ROUNDDOWN(('Increase Corridor Speed'!$H$17/5),0)*5 = 15,10,ROUNDDOWN(('Increase Corridor Speed'!$H$17/5),0)*5)</f>
        <v>0</v>
      </c>
      <c r="N71" s="86" t="s">
        <v>107</v>
      </c>
      <c r="O71" s="92" t="e">
        <f>IF(L71="CO2eq",VLOOKUP(M71,'Emission Factors'!$G$3:$J$18,MATCH(K71,'Emission Factors'!$G$2:$J$2,0),0),IF(L71="CO",VLOOKUP($M71,'Emission Factors'!$G$19:$J$34,MATCH(K71,'Emission Factors'!$G$2:$J$2,0),0),IF(L71="PM2.5",VLOOKUP(M71,'Emission Factors'!$G$35:$J$50,MATCH(K71,'Emission Factors'!$G$2:$J$2,0),0),IF(L71="NOx",VLOOKUP(M71,'Emission Factors'!$G$51:$J$66,MATCH(K71,'Emission Factors'!$G$2:$J$2,0),0),VLOOKUP(M71,'Emission Factors'!$G$67:$J$82,MATCH(K71,'Emission Factors'!$G$2:$J$2,0),0)))))</f>
        <v>#N/A</v>
      </c>
      <c r="P71" s="190" t="e">
        <f>IF($L71="CO2eq",VLOOKUP($M71,'Emission Factors'!$G$88:$J$103,MATCH($K71,'Emission Factors'!$G$87:$J$87,0),0),IF(L71="CO",VLOOKUP($M71,'Emission Factors'!$G$104:$J$119,MATCH(K71,'Emission Factors'!$G$87:$J$87,0),0),IF(L71="PM2.5",VLOOKUP(M71,'Emission Factors'!$G$120:$J$135,MATCH(K71,'Emission Factors'!$G$87:$J$87,0),0),IF(L71="NOx",VLOOKUP(M71,'Emission Factors'!$G$136:$J$151,MATCH(K71,'Emission Factors'!$G$87:$J$87,0),0),VLOOKUP(M71,'Emission Factors'!$G$152:$J$167,MATCH(K71,'Emission Factors'!$G$87:$J$87,0),0)))))</f>
        <v>#N/A</v>
      </c>
      <c r="Q71" s="190" t="e">
        <f>IF($L71="CO2eq",VLOOKUP($M71, 'Emission Factors'!G$173:J$188,MATCH($K71,'Emission Factors'!$G$87:$J$87,0),0),IF(L71="CO",VLOOKUP($M71, 'Emission Factors'!G$189:J$204,MATCH(K71,'Emission Factors'!$G$87:$J$87,0),0),IF(L71="PM2.5",VLOOKUP(M71, 'Emission Factors'!G$205:J$220,MATCH(K71,'Emission Factors'!$G$87:$J$87,0),0),IF(L71="NOx",VLOOKUP(M71,'Emission Factors'!G$221:J$236,MATCH(K71,'Emission Factors'!$G$87:$J$87,0),0),VLOOKUP(M71,'Emission Factors'!G$237:J$252,MATCH(K71,'Emission Factors'!$G$87:$J$87,0),0)))))</f>
        <v>#N/A</v>
      </c>
    </row>
    <row r="72" spans="1:17" hidden="1" x14ac:dyDescent="0.35">
      <c r="K72" s="85" t="s">
        <v>136</v>
      </c>
      <c r="L72" s="86" t="s">
        <v>109</v>
      </c>
      <c r="M72" s="87">
        <f>IF(ROUNDUP(('Increase Corridor Speed'!$H$18/5),0)*5=15,20,ROUNDUP('Increase Corridor Speed'!$H$18/5,0)*5)</f>
        <v>0</v>
      </c>
      <c r="N72" s="86" t="s">
        <v>107</v>
      </c>
      <c r="O72" s="92" t="e">
        <f>IF(L72="CO2eq",VLOOKUP(M72,'Emission Factors'!$G$3:$J$18,MATCH(K72,'Emission Factors'!$G$2:$J$2,0),0),IF(L72="CO",VLOOKUP($M72,'Emission Factors'!$G$19:$J$34,MATCH(K72,'Emission Factors'!$G$2:$J$2,0),0),IF(L72="PM2.5",VLOOKUP(M72,'Emission Factors'!$G$35:$J$50,MATCH(K72,'Emission Factors'!$G$2:$J$2,0),0),IF(L72="NOx",VLOOKUP(M72,'Emission Factors'!$G$51:$J$66,MATCH(K72,'Emission Factors'!$G$2:$J$2,0),0),VLOOKUP(M72,'Emission Factors'!$G$67:$J$82,MATCH(K72,'Emission Factors'!$G$2:$J$2,0),0)))))</f>
        <v>#N/A</v>
      </c>
      <c r="P72" s="190" t="e">
        <f>IF($L72="CO2eq",VLOOKUP($M72,'Emission Factors'!$G$88:$J$103,MATCH($K72,'Emission Factors'!$G$87:$J$87,0),0),IF(L72="CO",VLOOKUP($M72,'Emission Factors'!$G$104:$J$119,MATCH(K72,'Emission Factors'!$G$87:$J$87,0),0),IF(L72="PM2.5",VLOOKUP(M72,'Emission Factors'!$G$120:$J$135,MATCH(K72,'Emission Factors'!$G$87:$J$87,0),0),IF(L72="NOx",VLOOKUP(M72,'Emission Factors'!$G$136:$J$151,MATCH(K72,'Emission Factors'!$G$87:$J$87,0),0),VLOOKUP(M72,'Emission Factors'!$G$152:$J$167,MATCH(K72,'Emission Factors'!$G$87:$J$87,0),0)))))</f>
        <v>#N/A</v>
      </c>
      <c r="Q72" s="190" t="e">
        <f>IF($L72="CO2eq",VLOOKUP($M72, 'Emission Factors'!G$173:J$188,MATCH($K72,'Emission Factors'!$G$87:$J$87,0),0),IF(L72="CO",VLOOKUP($M72, 'Emission Factors'!G$189:J$204,MATCH(K72,'Emission Factors'!$G$87:$J$87,0),0),IF(L72="PM2.5",VLOOKUP(M72, 'Emission Factors'!G$205:J$220,MATCH(K72,'Emission Factors'!$G$87:$J$87,0),0),IF(L72="NOx",VLOOKUP(M72,'Emission Factors'!G$221:J$236,MATCH(K72,'Emission Factors'!$G$87:$J$87,0),0),VLOOKUP(M72,'Emission Factors'!G$237:J$252,MATCH(K72,'Emission Factors'!$G$87:$J$87,0),0)))))</f>
        <v>#N/A</v>
      </c>
    </row>
    <row r="73" spans="1:17" hidden="1" x14ac:dyDescent="0.35">
      <c r="K73" s="85" t="s">
        <v>136</v>
      </c>
      <c r="L73" s="86" t="s">
        <v>111</v>
      </c>
      <c r="M73" s="87">
        <f>IF(ROUNDDOWN(('Increase Corridor Speed'!$H$17/5),0)*5 = 15,10,ROUNDDOWN(('Increase Corridor Speed'!$H$17/5),0)*5)</f>
        <v>0</v>
      </c>
      <c r="N73" s="86" t="s">
        <v>107</v>
      </c>
      <c r="O73" s="92" t="e">
        <f>IF(L73="CO2eq",VLOOKUP(M73,'Emission Factors'!$G$3:$J$18,MATCH(K73,'Emission Factors'!$G$2:$J$2,0),0),IF(L73="CO",VLOOKUP($M73,'Emission Factors'!$G$19:$J$34,MATCH(K73,'Emission Factors'!$G$2:$J$2,0),0),IF(L73="PM2.5",VLOOKUP(M73,'Emission Factors'!$G$35:$J$50,MATCH(K73,'Emission Factors'!$G$2:$J$2,0),0),IF(L73="NOx",VLOOKUP(M73,'Emission Factors'!$G$51:$J$66,MATCH(K73,'Emission Factors'!$G$2:$J$2,0),0),VLOOKUP(M73,'Emission Factors'!$G$67:$J$82,MATCH(K73,'Emission Factors'!$G$2:$J$2,0),0)))))</f>
        <v>#N/A</v>
      </c>
      <c r="P73" s="190" t="e">
        <f>IF($L73="CO2eq",VLOOKUP($M73,'Emission Factors'!$G$88:$J$103,MATCH($K73,'Emission Factors'!$G$87:$J$87,0),0),IF(L73="CO",VLOOKUP($M73,'Emission Factors'!$G$104:$J$119,MATCH(K73,'Emission Factors'!$G$87:$J$87,0),0),IF(L73="PM2.5",VLOOKUP(M73,'Emission Factors'!$G$120:$J$135,MATCH(K73,'Emission Factors'!$G$87:$J$87,0),0),IF(L73="NOx",VLOOKUP(M73,'Emission Factors'!$G$136:$J$151,MATCH(K73,'Emission Factors'!$G$87:$J$87,0),0),VLOOKUP(M73,'Emission Factors'!$G$152:$J$167,MATCH(K73,'Emission Factors'!$G$87:$J$87,0),0)))))</f>
        <v>#N/A</v>
      </c>
      <c r="Q73" s="190" t="e">
        <f>IF($L73="CO2eq",VLOOKUP($M73, 'Emission Factors'!G$173:J$188,MATCH($K73,'Emission Factors'!$G$87:$J$87,0),0),IF(L73="CO",VLOOKUP($M73, 'Emission Factors'!G$189:J$204,MATCH(K73,'Emission Factors'!$G$87:$J$87,0),0),IF(L73="PM2.5",VLOOKUP(M73, 'Emission Factors'!G$205:J$220,MATCH(K73,'Emission Factors'!$G$87:$J$87,0),0),IF(L73="NOx",VLOOKUP(M73,'Emission Factors'!G$221:J$236,MATCH(K73,'Emission Factors'!$G$87:$J$87,0),0),VLOOKUP(M73,'Emission Factors'!G$237:J$252,MATCH(K73,'Emission Factors'!$G$87:$J$87,0),0)))))</f>
        <v>#N/A</v>
      </c>
    </row>
    <row r="74" spans="1:17" hidden="1" x14ac:dyDescent="0.35">
      <c r="K74" s="85" t="s">
        <v>136</v>
      </c>
      <c r="L74" s="86" t="s">
        <v>111</v>
      </c>
      <c r="M74" s="87">
        <f>IF(ROUNDUP(('Increase Corridor Speed'!$H$18/5),0)*5=15,20,ROUNDUP('Increase Corridor Speed'!$H$18/5,0)*5)</f>
        <v>0</v>
      </c>
      <c r="N74" s="86" t="s">
        <v>107</v>
      </c>
      <c r="O74" s="92" t="e">
        <f>IF(L74="CO2eq",VLOOKUP(M74,'Emission Factors'!$G$3:$J$18,MATCH(K74,'Emission Factors'!$G$2:$J$2,0),0),IF(L74="CO",VLOOKUP($M74,'Emission Factors'!$G$19:$J$34,MATCH(K74,'Emission Factors'!$G$2:$J$2,0),0),IF(L74="PM2.5",VLOOKUP(M74,'Emission Factors'!$G$35:$J$50,MATCH(K74,'Emission Factors'!$G$2:$J$2,0),0),IF(L74="NOx",VLOOKUP(M74,'Emission Factors'!$G$51:$J$66,MATCH(K74,'Emission Factors'!$G$2:$J$2,0),0),VLOOKUP(M74,'Emission Factors'!$G$67:$J$82,MATCH(K74,'Emission Factors'!$G$2:$J$2,0),0)))))</f>
        <v>#N/A</v>
      </c>
      <c r="P74" s="190" t="e">
        <f>IF($L74="CO2eq",VLOOKUP($M74,'Emission Factors'!$G$88:$J$103,MATCH($K74,'Emission Factors'!$G$87:$J$87,0),0),IF(L74="CO",VLOOKUP($M74,'Emission Factors'!$G$104:$J$119,MATCH(K74,'Emission Factors'!$G$87:$J$87,0),0),IF(L74="PM2.5",VLOOKUP(M74,'Emission Factors'!$G$120:$J$135,MATCH(K74,'Emission Factors'!$G$87:$J$87,0),0),IF(L74="NOx",VLOOKUP(M74,'Emission Factors'!$G$136:$J$151,MATCH(K74,'Emission Factors'!$G$87:$J$87,0),0),VLOOKUP(M74,'Emission Factors'!$G$152:$J$167,MATCH(K74,'Emission Factors'!$G$87:$J$87,0),0)))))</f>
        <v>#N/A</v>
      </c>
      <c r="Q74" s="190" t="e">
        <f>IF($L74="CO2eq",VLOOKUP($M74, 'Emission Factors'!G$173:J$188,MATCH($K74,'Emission Factors'!$G$87:$J$87,0),0),IF(L74="CO",VLOOKUP($M74, 'Emission Factors'!G$189:J$204,MATCH(K74,'Emission Factors'!$G$87:$J$87,0),0),IF(L74="PM2.5",VLOOKUP(M74, 'Emission Factors'!G$205:J$220,MATCH(K74,'Emission Factors'!$G$87:$J$87,0),0),IF(L74="NOx",VLOOKUP(M74,'Emission Factors'!G$221:J$236,MATCH(K74,'Emission Factors'!$G$87:$J$87,0),0),VLOOKUP(M74,'Emission Factors'!G$237:J$252,MATCH(K74,'Emission Factors'!$G$87:$J$87,0),0)))))</f>
        <v>#N/A</v>
      </c>
    </row>
    <row r="75" spans="1:17" hidden="1" x14ac:dyDescent="0.35">
      <c r="K75" s="85" t="s">
        <v>136</v>
      </c>
      <c r="L75" s="86" t="s">
        <v>113</v>
      </c>
      <c r="M75" s="87">
        <f>IF(ROUNDDOWN(('Increase Corridor Speed'!$H$17/5),0)*5 = 15,10,ROUNDDOWN(('Increase Corridor Speed'!$H$17/5),0)*5)</f>
        <v>0</v>
      </c>
      <c r="N75" s="86" t="s">
        <v>107</v>
      </c>
      <c r="O75" s="92" t="e">
        <f>IF(L75="CO2eq",VLOOKUP(M75,'Emission Factors'!$G$3:$J$18,MATCH(K75,'Emission Factors'!$G$2:$J$2,0),0),IF(L75="CO",VLOOKUP($M75,'Emission Factors'!$G$19:$J$34,MATCH(K75,'Emission Factors'!$G$2:$J$2,0),0),IF(L75="PM2.5",VLOOKUP(M75,'Emission Factors'!$G$35:$J$50,MATCH(K75,'Emission Factors'!$G$2:$J$2,0),0),IF(L75="NOx",VLOOKUP(M75,'Emission Factors'!$G$51:$J$66,MATCH(K75,'Emission Factors'!$G$2:$J$2,0),0),VLOOKUP(M75,'Emission Factors'!$G$67:$J$82,MATCH(K75,'Emission Factors'!$G$2:$J$2,0),0)))))</f>
        <v>#N/A</v>
      </c>
      <c r="P75" s="190" t="e">
        <f>IF($L75="CO2eq",VLOOKUP($M75,'Emission Factors'!$G$88:$J$103,MATCH($K75,'Emission Factors'!$G$87:$J$87,0),0),IF(L75="CO",VLOOKUP($M75,'Emission Factors'!$G$104:$J$119,MATCH(K75,'Emission Factors'!$G$87:$J$87,0),0),IF(L75="PM2.5",VLOOKUP(M75,'Emission Factors'!$G$120:$J$135,MATCH(K75,'Emission Factors'!$G$87:$J$87,0),0),IF(L75="NOx",VLOOKUP(M75,'Emission Factors'!$G$136:$J$151,MATCH(K75,'Emission Factors'!$G$87:$J$87,0),0),VLOOKUP(M75,'Emission Factors'!$G$152:$J$167,MATCH(K75,'Emission Factors'!$G$87:$J$87,0),0)))))</f>
        <v>#N/A</v>
      </c>
      <c r="Q75" s="190" t="e">
        <f>IF($L75="CO2eq",VLOOKUP($M75, 'Emission Factors'!G$173:J$188,MATCH($K75,'Emission Factors'!$G$87:$J$87,0),0),IF(L75="CO",VLOOKUP($M75, 'Emission Factors'!G$189:J$204,MATCH(K75,'Emission Factors'!$G$87:$J$87,0),0),IF(L75="PM2.5",VLOOKUP(M75, 'Emission Factors'!G$205:J$220,MATCH(K75,'Emission Factors'!$G$87:$J$87,0),0),IF(L75="NOx",VLOOKUP(M75,'Emission Factors'!G$221:J$236,MATCH(K75,'Emission Factors'!$G$87:$J$87,0),0),VLOOKUP(M75,'Emission Factors'!G$237:J$252,MATCH(K75,'Emission Factors'!$G$87:$J$87,0),0)))))</f>
        <v>#N/A</v>
      </c>
    </row>
    <row r="76" spans="1:17" hidden="1" x14ac:dyDescent="0.35">
      <c r="K76" s="85" t="s">
        <v>136</v>
      </c>
      <c r="L76" s="86" t="s">
        <v>113</v>
      </c>
      <c r="M76" s="87">
        <f>IF(ROUNDUP(('Increase Corridor Speed'!$H$18/5),0)*5=15,20,ROUNDUP('Increase Corridor Speed'!$H$18/5,0)*5)</f>
        <v>0</v>
      </c>
      <c r="N76" s="86" t="s">
        <v>107</v>
      </c>
      <c r="O76" s="92" t="e">
        <f>IF(L76="CO2eq",VLOOKUP(M76,'Emission Factors'!$G$3:$J$18,MATCH(K76,'Emission Factors'!$G$2:$J$2,0),0),IF(L76="CO",VLOOKUP($M76,'Emission Factors'!$G$19:$J$34,MATCH(K76,'Emission Factors'!$G$2:$J$2,0),0),IF(L76="PM2.5",VLOOKUP(M76,'Emission Factors'!$G$35:$J$50,MATCH(K76,'Emission Factors'!$G$2:$J$2,0),0),IF(L76="NOx",VLOOKUP(M76,'Emission Factors'!$G$51:$J$66,MATCH(K76,'Emission Factors'!$G$2:$J$2,0),0),VLOOKUP(M76,'Emission Factors'!$G$67:$J$82,MATCH(K76,'Emission Factors'!$G$2:$J$2,0),0)))))</f>
        <v>#N/A</v>
      </c>
      <c r="P76" s="190" t="e">
        <f>IF($L76="CO2eq",VLOOKUP($M76,'Emission Factors'!$G$88:$J$103,MATCH($K76,'Emission Factors'!$G$87:$J$87,0),0),IF(L76="CO",VLOOKUP($M76,'Emission Factors'!$G$104:$J$119,MATCH(K76,'Emission Factors'!$G$87:$J$87,0),0),IF(L76="PM2.5",VLOOKUP(M76,'Emission Factors'!$G$120:$J$135,MATCH(K76,'Emission Factors'!$G$87:$J$87,0),0),IF(L76="NOx",VLOOKUP(M76,'Emission Factors'!$G$136:$J$151,MATCH(K76,'Emission Factors'!$G$87:$J$87,0),0),VLOOKUP(M76,'Emission Factors'!$G$152:$J$167,MATCH(K76,'Emission Factors'!$G$87:$J$87,0),0)))))</f>
        <v>#N/A</v>
      </c>
      <c r="Q76" s="190" t="e">
        <f>IF($L76="CO2eq",VLOOKUP($M76, 'Emission Factors'!G$173:J$188,MATCH($K76,'Emission Factors'!$G$87:$J$87,0),0),IF(L76="CO",VLOOKUP($M76, 'Emission Factors'!G$189:J$204,MATCH(K76,'Emission Factors'!$G$87:$J$87,0),0),IF(L76="PM2.5",VLOOKUP(M76, 'Emission Factors'!G$205:J$220,MATCH(K76,'Emission Factors'!$G$87:$J$87,0),0),IF(L76="NOx",VLOOKUP(M76,'Emission Factors'!G$221:J$236,MATCH(K76,'Emission Factors'!$G$87:$J$87,0),0),VLOOKUP(M76,'Emission Factors'!G$237:J$252,MATCH(K76,'Emission Factors'!$G$87:$J$87,0),0)))))</f>
        <v>#N/A</v>
      </c>
    </row>
    <row r="77" spans="1:17" hidden="1" x14ac:dyDescent="0.35">
      <c r="K77" s="85" t="s">
        <v>136</v>
      </c>
      <c r="L77" s="86" t="s">
        <v>115</v>
      </c>
      <c r="M77" s="87">
        <f>IF(ROUNDDOWN(('Increase Corridor Speed'!$H$17/5),0)*5 = 15,10,ROUNDDOWN(('Increase Corridor Speed'!$H$17/5),0)*5)</f>
        <v>0</v>
      </c>
      <c r="N77" s="86" t="s">
        <v>107</v>
      </c>
      <c r="O77" s="92" t="e">
        <f>IF(L77="CO2eq",VLOOKUP(M77,'Emission Factors'!$G$3:$J$18,MATCH(K77,'Emission Factors'!$G$2:$J$2,0),0),IF(L77="CO",VLOOKUP($M77,'Emission Factors'!$G$19:$J$34,MATCH(K77,'Emission Factors'!$G$2:$J$2,0),0),IF(L77="PM2.5",VLOOKUP(M77,'Emission Factors'!$G$35:$J$50,MATCH(K77,'Emission Factors'!$G$2:$J$2,0),0),IF(L77="NOx",VLOOKUP(M77,'Emission Factors'!$G$51:$J$66,MATCH(K77,'Emission Factors'!$G$2:$J$2,0),0),VLOOKUP(M77,'Emission Factors'!$G$67:$J$82,MATCH(K77,'Emission Factors'!$G$2:$J$2,0),0)))))</f>
        <v>#N/A</v>
      </c>
      <c r="P77" s="190" t="e">
        <f>IF($L77="CO2eq",VLOOKUP($M77,'Emission Factors'!$G$88:$J$103,MATCH($K77,'Emission Factors'!$G$87:$J$87,0),0),IF(L77="CO",VLOOKUP($M77,'Emission Factors'!$G$104:$J$119,MATCH(K77,'Emission Factors'!$G$87:$J$87,0),0),IF(L77="PM2.5",VLOOKUP(M77,'Emission Factors'!$G$120:$J$135,MATCH(K77,'Emission Factors'!$G$87:$J$87,0),0),IF(L77="NOx",VLOOKUP(M77,'Emission Factors'!$G$136:$J$151,MATCH(K77,'Emission Factors'!$G$87:$J$87,0),0),VLOOKUP(M77,'Emission Factors'!$G$152:$J$167,MATCH(K77,'Emission Factors'!$G$87:$J$87,0),0)))))</f>
        <v>#N/A</v>
      </c>
      <c r="Q77" s="190" t="e">
        <f>IF($L77="CO2eq",VLOOKUP($M77, 'Emission Factors'!G$173:J$188,MATCH($K77,'Emission Factors'!$G$87:$J$87,0),0),IF(L77="CO",VLOOKUP($M77, 'Emission Factors'!G$189:J$204,MATCH(K77,'Emission Factors'!$G$87:$J$87,0),0),IF(L77="PM2.5",VLOOKUP(M77, 'Emission Factors'!G$205:J$220,MATCH(K77,'Emission Factors'!$G$87:$J$87,0),0),IF(L77="NOx",VLOOKUP(M77,'Emission Factors'!G$221:J$236,MATCH(K77,'Emission Factors'!$G$87:$J$87,0),0),VLOOKUP(M77,'Emission Factors'!G$237:J$252,MATCH(K77,'Emission Factors'!$G$87:$J$87,0),0)))))</f>
        <v>#N/A</v>
      </c>
    </row>
    <row r="78" spans="1:17" hidden="1" x14ac:dyDescent="0.35">
      <c r="K78" s="91" t="s">
        <v>136</v>
      </c>
      <c r="L78" s="88" t="s">
        <v>115</v>
      </c>
      <c r="M78" s="89">
        <f>IF(ROUNDUP(('Increase Corridor Speed'!$H$18/5),0)*5=15,20,ROUNDUP('Increase Corridor Speed'!$H$18/5,0)*5)</f>
        <v>0</v>
      </c>
      <c r="N78" s="88" t="s">
        <v>107</v>
      </c>
      <c r="O78" s="93" t="e">
        <f>IF(L78="CO2eq",VLOOKUP(M78,'Emission Factors'!$G$3:$J$18,MATCH(K78,'Emission Factors'!$G$2:$J$2,0),0),IF(L78="CO",VLOOKUP($M78,'Emission Factors'!$G$19:$J$34,MATCH(K78,'Emission Factors'!$G$2:$J$2,0),0),IF(L78="PM2.5",VLOOKUP(M78,'Emission Factors'!$G$35:$J$50,MATCH(K78,'Emission Factors'!$G$2:$J$2,0),0),IF(L78="NOx",VLOOKUP(M78,'Emission Factors'!$G$51:$J$66,MATCH(K78,'Emission Factors'!$G$2:$J$2,0),0),VLOOKUP(M78,'Emission Factors'!$G$67:$J$82,MATCH(K78,'Emission Factors'!$G$2:$J$2,0),0)))))</f>
        <v>#N/A</v>
      </c>
      <c r="P78" s="191" t="e">
        <f>IF($L78="CO2eq",VLOOKUP($M78,'Emission Factors'!$G$88:$J$103,MATCH($K78,'Emission Factors'!$G$87:$J$87,0),0),IF(L78="CO",VLOOKUP($M78,'Emission Factors'!$G$104:$J$119,MATCH(K78,'Emission Factors'!$G$87:$J$87,0),0),IF(L78="PM2.5",VLOOKUP(M78,'Emission Factors'!$G$120:$J$135,MATCH(K78,'Emission Factors'!$G$87:$J$87,0),0),IF(L78="NOx",VLOOKUP(M78,'Emission Factors'!$G$136:$J$151,MATCH(K78,'Emission Factors'!$G$87:$J$87,0),0),VLOOKUP(M78,'Emission Factors'!$G$152:$J$167,MATCH(K78,'Emission Factors'!$G$87:$J$87,0),0)))))</f>
        <v>#N/A</v>
      </c>
      <c r="Q78" s="191" t="e">
        <f>IF($L78="CO2eq",VLOOKUP($M78, 'Emission Factors'!G$173:J$188,MATCH($K78,'Emission Factors'!$G$87:$J$87,0),0),IF(L78="CO",VLOOKUP($M78, 'Emission Factors'!G$189:J$204,MATCH(K78,'Emission Factors'!$G$87:$J$87,0),0),IF(L78="PM2.5",VLOOKUP(M78, 'Emission Factors'!G$205:J$220,MATCH(K78,'Emission Factors'!$G$87:$J$87,0),0),IF(L78="NOx",VLOOKUP(M78,'Emission Factors'!G$221:J$236,MATCH(K78,'Emission Factors'!$G$87:$J$87,0),0),VLOOKUP(M78,'Emission Factors'!G$237:J$252,MATCH(K78,'Emission Factors'!$G$87:$J$87,0),0)))))</f>
        <v>#N/A</v>
      </c>
    </row>
    <row r="79" spans="1:17" ht="14.65" hidden="1" customHeight="1" x14ac:dyDescent="0.35">
      <c r="A79" s="1"/>
      <c r="B79" s="1"/>
      <c r="C79" s="1"/>
      <c r="D79" s="1"/>
      <c r="E79" s="1"/>
      <c r="F79" s="1"/>
      <c r="K79" s="128"/>
      <c r="L79" s="128"/>
      <c r="M79" s="324"/>
      <c r="N79" s="128"/>
      <c r="O79" s="325"/>
      <c r="P79" s="325"/>
    </row>
    <row r="81" spans="1:8" ht="15.5" x14ac:dyDescent="0.35">
      <c r="A81" s="1"/>
      <c r="B81" s="61" t="s">
        <v>116</v>
      </c>
      <c r="C81" s="1"/>
      <c r="D81" s="1"/>
      <c r="E81" s="60"/>
      <c r="F81" s="60"/>
    </row>
    <row r="82" spans="1:8" x14ac:dyDescent="0.35">
      <c r="A82" s="60"/>
      <c r="B82" s="102" t="s">
        <v>84</v>
      </c>
      <c r="C82" s="102" t="s">
        <v>85</v>
      </c>
      <c r="D82" s="60"/>
      <c r="E82" s="60"/>
      <c r="F82" s="60"/>
      <c r="H82" s="115"/>
    </row>
    <row r="83" spans="1:8" x14ac:dyDescent="0.35">
      <c r="A83" s="60"/>
      <c r="B83" s="111" t="s">
        <v>64</v>
      </c>
      <c r="C83" s="131" t="str">
        <f>IF(SUM(I$16:I$19)&gt;0,"[Error]",(H30/60)*H16)</f>
        <v>[Error]</v>
      </c>
      <c r="D83" s="60"/>
      <c r="E83" s="60"/>
      <c r="F83" s="60"/>
      <c r="H83" s="163" t="str">
        <f>C83</f>
        <v>[Error]</v>
      </c>
    </row>
    <row r="84" spans="1:8" x14ac:dyDescent="0.35">
      <c r="A84" s="60"/>
      <c r="B84" s="111" t="s">
        <v>65</v>
      </c>
      <c r="C84" s="131" t="str">
        <f>IF(SUM(I$16:I$19)&gt;0,"[Error]",($H$31*($H39-$H44)/1000 - $H$33*$H44/1000))</f>
        <v>[Error]</v>
      </c>
      <c r="D84" s="1"/>
      <c r="E84" s="1"/>
      <c r="F84" s="1"/>
      <c r="H84" s="163" t="str">
        <f t="shared" ref="H84:H88" si="15">C84</f>
        <v>[Error]</v>
      </c>
    </row>
    <row r="85" spans="1:8" x14ac:dyDescent="0.35">
      <c r="A85" s="60"/>
      <c r="B85" s="111" t="s">
        <v>66</v>
      </c>
      <c r="C85" s="131" t="str">
        <f>IF(SUM(I$16:I$19)&gt;0,"[Error]",($H$31*($H40-$H45)/1000 - $H$33*$H45/1000))</f>
        <v>[Error]</v>
      </c>
      <c r="D85" s="1"/>
      <c r="E85" s="1"/>
      <c r="F85" s="1"/>
      <c r="H85" s="163" t="str">
        <f t="shared" si="15"/>
        <v>[Error]</v>
      </c>
    </row>
    <row r="86" spans="1:8" x14ac:dyDescent="0.35">
      <c r="A86" s="60"/>
      <c r="B86" s="111" t="s">
        <v>67</v>
      </c>
      <c r="C86" s="131" t="str">
        <f>IF(SUM(I$16:I$19)&gt;0,"[Error]",($H$31*($H41-$H46)/1000 - $H$33*$H46/1000))</f>
        <v>[Error]</v>
      </c>
      <c r="D86" s="1"/>
      <c r="E86" s="1"/>
      <c r="F86" s="1"/>
      <c r="H86" s="163" t="str">
        <f t="shared" si="15"/>
        <v>[Error]</v>
      </c>
    </row>
    <row r="87" spans="1:8" x14ac:dyDescent="0.35">
      <c r="A87" s="60"/>
      <c r="B87" s="111" t="s">
        <v>68</v>
      </c>
      <c r="C87" s="131" t="str">
        <f>IF(SUM(I$16:I$19)&gt;0,"[Error]",($H$31*($H42-$H47)/1000 - $H$33*$H47/1000))</f>
        <v>[Error]</v>
      </c>
      <c r="D87" s="1"/>
      <c r="E87" s="1"/>
      <c r="F87" s="1"/>
      <c r="H87" s="163" t="str">
        <f t="shared" si="15"/>
        <v>[Error]</v>
      </c>
    </row>
    <row r="88" spans="1:8" x14ac:dyDescent="0.35">
      <c r="A88" s="1"/>
      <c r="B88" s="111" t="s">
        <v>69</v>
      </c>
      <c r="C88" s="131" t="str">
        <f>IF(SUM(I$16:I$19)&gt;0,"[Error]",($H$31*($H43-$H48)/1000 - $H$33*$H48/1000))</f>
        <v>[Error]</v>
      </c>
      <c r="D88" s="1"/>
      <c r="E88" s="1"/>
      <c r="F88" s="1"/>
      <c r="H88" s="163" t="str">
        <f t="shared" si="15"/>
        <v>[Error]</v>
      </c>
    </row>
    <row r="89" spans="1:8" x14ac:dyDescent="0.35">
      <c r="A89" s="1"/>
      <c r="B89" s="1"/>
      <c r="C89" s="1"/>
      <c r="D89" s="1"/>
      <c r="E89" s="1"/>
      <c r="F89" s="1"/>
      <c r="H89" s="163"/>
    </row>
  </sheetData>
  <sheetProtection algorithmName="SHA-512" hashValue="Ub7e+10NEN8LiNY3oMqM5J/RFaLYAWZSSWpwlLxrjn5WzIy23GD5ic23h/HiR406mUBAyAdFeMmnO8/T92lYFQ==" saltValue="zPZtdMypFKqP3KABHD7pCg==" spinCount="100000" sheet="1" objects="1" scenarios="1"/>
  <protectedRanges>
    <protectedRange sqref="D16 D19 C22 C13:C20" name="Range1"/>
    <protectedRange sqref="C21:D21" name="Range1_1"/>
  </protectedRanges>
  <mergeCells count="6">
    <mergeCell ref="B8:E8"/>
    <mergeCell ref="C3:E3"/>
    <mergeCell ref="B4:E4"/>
    <mergeCell ref="B5:E5"/>
    <mergeCell ref="B6:E6"/>
    <mergeCell ref="B7:E7"/>
  </mergeCell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800-000000000000}">
          <x14:formula1>
            <xm:f>Assumptions!$T$3:$T$25</xm:f>
          </x14:formula1>
          <xm:sqref>C13</xm:sqref>
        </x14:dataValidation>
        <x14:dataValidation type="list" allowBlank="1" showInputMessage="1" showErrorMessage="1" xr:uid="{3C2B09D4-1972-47DA-B7FC-F126F9EB3C25}">
          <x14:formula1>
            <xm:f>Assumptions!$B$101:$B$107</xm:f>
          </x14:formula1>
          <xm:sqref>C22</xm:sqref>
        </x14:dataValidation>
        <x14:dataValidation type="list" allowBlank="1" showInputMessage="1" showErrorMessage="1" xr:uid="{00000000-0002-0000-0800-000001000000}">
          <x14:formula1>
            <xm:f>Assumptions!$U$3:$U$4</xm:f>
          </x14:formula1>
          <xm:sqref>D21 D16 D19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2">
    <tabColor theme="6"/>
  </sheetPr>
  <dimension ref="A1:AN143"/>
  <sheetViews>
    <sheetView topLeftCell="A3" zoomScaleNormal="100" zoomScalePageLayoutView="80" workbookViewId="0">
      <selection activeCell="X26" sqref="X26"/>
    </sheetView>
  </sheetViews>
  <sheetFormatPr defaultColWidth="8.7265625" defaultRowHeight="14.5" x14ac:dyDescent="0.35"/>
  <cols>
    <col min="1" max="1" width="4.26953125" customWidth="1"/>
    <col min="2" max="2" width="79.26953125" customWidth="1"/>
    <col min="3" max="3" width="13" customWidth="1"/>
    <col min="4" max="4" width="14.7265625" customWidth="1"/>
    <col min="5" max="5" width="13.453125" customWidth="1"/>
    <col min="7" max="7" width="12" hidden="1" customWidth="1"/>
    <col min="8" max="17" width="8.7265625" hidden="1" customWidth="1"/>
  </cols>
  <sheetData>
    <row r="1" spans="1:40" ht="23.5" x14ac:dyDescent="0.35">
      <c r="A1" s="63" t="s">
        <v>39</v>
      </c>
      <c r="B1" s="64"/>
      <c r="C1" s="64"/>
      <c r="D1" s="64"/>
      <c r="E1" s="64"/>
      <c r="F1" s="66"/>
      <c r="G1" s="66"/>
      <c r="H1" s="64"/>
      <c r="I1" s="64" t="s">
        <v>1</v>
      </c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  <c r="AB1" s="66"/>
      <c r="AC1" s="66"/>
      <c r="AD1" s="66"/>
      <c r="AE1" s="66"/>
      <c r="AF1" s="66"/>
      <c r="AG1" s="66"/>
      <c r="AH1" s="66"/>
      <c r="AI1" s="66"/>
      <c r="AJ1" s="66"/>
      <c r="AK1" s="66"/>
      <c r="AL1" s="66"/>
      <c r="AM1" s="66"/>
      <c r="AN1" s="66"/>
    </row>
    <row r="2" spans="1:40" ht="12.75" customHeight="1" x14ac:dyDescent="0.35">
      <c r="A2" s="63"/>
      <c r="B2" s="64"/>
      <c r="C2" s="64"/>
      <c r="D2" s="64"/>
      <c r="E2" s="64"/>
      <c r="F2" s="66"/>
      <c r="G2" s="66"/>
      <c r="H2" s="64"/>
      <c r="I2" s="64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66"/>
      <c r="AL2" s="66"/>
      <c r="AM2" s="66"/>
      <c r="AN2" s="66"/>
    </row>
    <row r="3" spans="1:40" ht="23.5" x14ac:dyDescent="0.35">
      <c r="A3" s="185"/>
      <c r="B3" s="61" t="s">
        <v>77</v>
      </c>
      <c r="C3" s="549"/>
      <c r="D3" s="549"/>
      <c r="E3" s="549"/>
      <c r="F3" s="184"/>
      <c r="G3" s="66"/>
      <c r="H3" s="64"/>
      <c r="I3" s="64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C3" s="66"/>
      <c r="AD3" s="66"/>
      <c r="AE3" s="66"/>
      <c r="AF3" s="66"/>
      <c r="AG3" s="66"/>
      <c r="AH3" s="66"/>
      <c r="AI3" s="66"/>
      <c r="AJ3" s="66"/>
      <c r="AK3" s="66"/>
      <c r="AL3" s="66"/>
      <c r="AM3" s="66"/>
      <c r="AN3" s="66"/>
    </row>
    <row r="4" spans="1:40" ht="23.5" x14ac:dyDescent="0.35">
      <c r="A4" s="186"/>
      <c r="B4" s="550" t="s">
        <v>78</v>
      </c>
      <c r="C4" s="550"/>
      <c r="D4" s="550"/>
      <c r="E4" s="550"/>
      <c r="F4" s="187"/>
      <c r="G4" s="66"/>
      <c r="H4" s="64"/>
      <c r="I4" s="64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66"/>
      <c r="AI4" s="66"/>
      <c r="AJ4" s="66"/>
      <c r="AK4" s="66"/>
      <c r="AL4" s="66"/>
      <c r="AM4" s="66"/>
      <c r="AN4" s="66"/>
    </row>
    <row r="5" spans="1:40" ht="30" customHeight="1" x14ac:dyDescent="0.35">
      <c r="A5" s="186"/>
      <c r="B5" s="551" t="s">
        <v>79</v>
      </c>
      <c r="C5" s="551"/>
      <c r="D5" s="551"/>
      <c r="E5" s="551"/>
      <c r="F5" s="187"/>
      <c r="G5" s="66"/>
      <c r="H5" s="64"/>
      <c r="I5" s="64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66"/>
      <c r="W5" s="66"/>
      <c r="X5" s="66"/>
      <c r="Y5" s="66"/>
      <c r="Z5" s="66"/>
      <c r="AA5" s="66"/>
      <c r="AB5" s="66"/>
      <c r="AC5" s="66"/>
      <c r="AD5" s="66"/>
      <c r="AE5" s="66"/>
      <c r="AF5" s="66"/>
      <c r="AG5" s="66"/>
      <c r="AH5" s="66"/>
      <c r="AI5" s="66"/>
      <c r="AJ5" s="66"/>
      <c r="AK5" s="66"/>
      <c r="AL5" s="66"/>
      <c r="AM5" s="66"/>
      <c r="AN5" s="66"/>
    </row>
    <row r="6" spans="1:40" ht="29.25" customHeight="1" x14ac:dyDescent="0.35">
      <c r="A6" s="186"/>
      <c r="B6" s="552" t="s">
        <v>80</v>
      </c>
      <c r="C6" s="552"/>
      <c r="D6" s="552"/>
      <c r="E6" s="552"/>
      <c r="F6" s="187"/>
      <c r="G6" s="66"/>
      <c r="H6" s="64"/>
      <c r="I6" s="64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  <c r="AA6" s="66"/>
      <c r="AB6" s="66"/>
      <c r="AC6" s="66"/>
      <c r="AD6" s="66"/>
      <c r="AE6" s="66"/>
      <c r="AF6" s="66"/>
      <c r="AG6" s="66"/>
      <c r="AH6" s="66"/>
      <c r="AI6" s="66"/>
      <c r="AJ6" s="66"/>
      <c r="AK6" s="66"/>
      <c r="AL6" s="66"/>
      <c r="AM6" s="66"/>
      <c r="AN6" s="66"/>
    </row>
    <row r="7" spans="1:40" ht="27" customHeight="1" x14ac:dyDescent="0.35">
      <c r="A7" s="186"/>
      <c r="B7" s="553" t="s">
        <v>81</v>
      </c>
      <c r="C7" s="553"/>
      <c r="D7" s="553"/>
      <c r="E7" s="553"/>
      <c r="F7" s="187"/>
      <c r="G7" s="66"/>
      <c r="H7" s="64"/>
      <c r="I7" s="64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66"/>
      <c r="Y7" s="66"/>
      <c r="Z7" s="66"/>
      <c r="AA7" s="66"/>
      <c r="AB7" s="66"/>
      <c r="AC7" s="66"/>
      <c r="AD7" s="66"/>
      <c r="AE7" s="66"/>
      <c r="AF7" s="66"/>
      <c r="AG7" s="66"/>
      <c r="AH7" s="66"/>
      <c r="AI7" s="66"/>
      <c r="AJ7" s="66"/>
      <c r="AK7" s="66"/>
      <c r="AL7" s="66"/>
      <c r="AM7" s="66"/>
      <c r="AN7" s="66"/>
    </row>
    <row r="8" spans="1:40" ht="23.5" x14ac:dyDescent="0.35">
      <c r="A8" s="186"/>
      <c r="B8" s="548" t="s">
        <v>82</v>
      </c>
      <c r="C8" s="548"/>
      <c r="D8" s="548"/>
      <c r="E8" s="548"/>
      <c r="F8" s="187"/>
      <c r="G8" s="66"/>
      <c r="H8" s="64"/>
      <c r="I8" s="64"/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  <c r="U8" s="66"/>
      <c r="V8" s="66"/>
      <c r="W8" s="66"/>
      <c r="X8" s="66"/>
      <c r="Y8" s="66"/>
      <c r="Z8" s="66"/>
      <c r="AA8" s="66"/>
      <c r="AB8" s="66"/>
      <c r="AC8" s="66"/>
      <c r="AD8" s="66"/>
      <c r="AE8" s="66"/>
      <c r="AF8" s="66"/>
      <c r="AG8" s="66"/>
      <c r="AH8" s="66"/>
      <c r="AI8" s="66"/>
      <c r="AJ8" s="66"/>
      <c r="AK8" s="66"/>
      <c r="AL8" s="66"/>
      <c r="AM8" s="66"/>
      <c r="AN8" s="66"/>
    </row>
    <row r="9" spans="1:40" x14ac:dyDescent="0.35">
      <c r="A9" s="184"/>
      <c r="B9" s="184"/>
      <c r="C9" s="184"/>
      <c r="D9" s="184"/>
      <c r="E9" s="184"/>
      <c r="F9" s="184"/>
      <c r="G9" s="66"/>
      <c r="H9" s="64"/>
      <c r="I9" s="64"/>
      <c r="J9" s="66"/>
      <c r="K9" s="66"/>
      <c r="L9" s="66"/>
      <c r="M9" s="66"/>
      <c r="N9" s="66"/>
      <c r="O9" s="66"/>
      <c r="P9" s="66"/>
      <c r="Q9" s="66"/>
      <c r="R9" s="66"/>
      <c r="S9" s="66"/>
      <c r="T9" s="66"/>
      <c r="U9" s="66"/>
      <c r="V9" s="66"/>
      <c r="W9" s="66"/>
      <c r="X9" s="66"/>
      <c r="Y9" s="66"/>
      <c r="Z9" s="66"/>
      <c r="AA9" s="66"/>
      <c r="AB9" s="66"/>
      <c r="AC9" s="66"/>
      <c r="AD9" s="66"/>
      <c r="AE9" s="66"/>
      <c r="AF9" s="66"/>
      <c r="AG9" s="66"/>
      <c r="AH9" s="66"/>
      <c r="AI9" s="66"/>
      <c r="AJ9" s="66"/>
      <c r="AK9" s="66"/>
      <c r="AL9" s="66"/>
      <c r="AM9" s="66"/>
      <c r="AN9" s="66"/>
    </row>
    <row r="10" spans="1:40" ht="23.5" x14ac:dyDescent="0.35">
      <c r="A10" s="63"/>
      <c r="B10" s="64"/>
      <c r="C10" s="64"/>
      <c r="D10" s="64"/>
      <c r="E10" s="64"/>
      <c r="F10" s="66"/>
      <c r="G10" s="66"/>
      <c r="H10" s="64"/>
      <c r="I10" s="64"/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66"/>
      <c r="V10" s="66"/>
      <c r="W10" s="66"/>
      <c r="X10" s="66"/>
      <c r="Y10" s="66"/>
      <c r="Z10" s="66"/>
      <c r="AA10" s="66"/>
      <c r="AB10" s="66"/>
      <c r="AC10" s="66"/>
      <c r="AD10" s="66"/>
      <c r="AE10" s="66"/>
      <c r="AF10" s="66"/>
      <c r="AG10" s="66"/>
      <c r="AH10" s="66"/>
      <c r="AI10" s="66"/>
      <c r="AJ10" s="66"/>
      <c r="AK10" s="66"/>
      <c r="AL10" s="66"/>
      <c r="AM10" s="66"/>
      <c r="AN10" s="66"/>
    </row>
    <row r="11" spans="1:40" ht="15.5" x14ac:dyDescent="0.35">
      <c r="A11" s="1"/>
      <c r="B11" s="61" t="s">
        <v>83</v>
      </c>
      <c r="C11" s="1"/>
      <c r="D11" s="1"/>
      <c r="E11" s="1"/>
      <c r="F11" s="1"/>
      <c r="G11" s="64"/>
      <c r="H11" s="64"/>
      <c r="I11" s="64"/>
      <c r="J11" s="64"/>
      <c r="K11" s="64"/>
      <c r="L11" s="64"/>
      <c r="M11" s="64"/>
      <c r="N11" s="64"/>
      <c r="O11" s="64"/>
      <c r="P11" s="64"/>
      <c r="Q11" s="64"/>
      <c r="R11" s="64"/>
      <c r="S11" s="64"/>
      <c r="T11" s="64"/>
      <c r="U11" s="64"/>
      <c r="V11" s="64"/>
      <c r="W11" s="64"/>
      <c r="X11" s="64"/>
      <c r="Y11" s="64"/>
      <c r="Z11" s="64"/>
      <c r="AA11" s="64"/>
      <c r="AB11" s="64"/>
      <c r="AC11" s="64"/>
      <c r="AD11" s="64"/>
      <c r="AE11" s="64"/>
      <c r="AF11" s="64"/>
      <c r="AG11" s="64"/>
      <c r="AH11" s="64"/>
      <c r="AI11" s="64"/>
      <c r="AJ11" s="64"/>
      <c r="AK11" s="64"/>
      <c r="AL11" s="64"/>
      <c r="AM11" s="64"/>
      <c r="AN11" s="64"/>
    </row>
    <row r="12" spans="1:40" ht="39.5" x14ac:dyDescent="0.35">
      <c r="A12" s="60"/>
      <c r="B12" s="102" t="s">
        <v>84</v>
      </c>
      <c r="C12" s="102" t="s">
        <v>85</v>
      </c>
      <c r="D12" s="102" t="s">
        <v>86</v>
      </c>
      <c r="E12" s="102" t="s">
        <v>87</v>
      </c>
      <c r="F12" s="1"/>
      <c r="G12" s="115" t="s">
        <v>88</v>
      </c>
      <c r="H12" s="115" t="s">
        <v>89</v>
      </c>
      <c r="I12" s="115" t="s">
        <v>90</v>
      </c>
      <c r="J12" s="64"/>
      <c r="K12" s="64"/>
      <c r="L12" s="64"/>
      <c r="M12" s="64"/>
      <c r="N12" s="64"/>
      <c r="O12" s="64"/>
      <c r="P12" s="64"/>
      <c r="Q12" s="64"/>
      <c r="R12" s="64"/>
      <c r="S12" s="64"/>
      <c r="T12" s="64"/>
      <c r="U12" s="64"/>
      <c r="V12" s="64"/>
      <c r="W12" s="64"/>
      <c r="X12" s="64"/>
      <c r="Y12" s="64"/>
      <c r="Z12" s="64"/>
      <c r="AA12" s="64"/>
      <c r="AB12" s="64"/>
      <c r="AC12" s="64"/>
      <c r="AD12" s="64"/>
      <c r="AE12" s="64"/>
      <c r="AF12" s="64"/>
      <c r="AG12" s="64"/>
      <c r="AH12" s="64"/>
      <c r="AI12" s="64"/>
      <c r="AJ12" s="64"/>
      <c r="AK12" s="64"/>
      <c r="AL12" s="64"/>
      <c r="AM12" s="64"/>
      <c r="AN12" s="64"/>
    </row>
    <row r="13" spans="1:40" x14ac:dyDescent="0.35">
      <c r="A13" s="60"/>
      <c r="B13" s="105" t="s">
        <v>91</v>
      </c>
      <c r="C13" s="509"/>
      <c r="D13" s="510"/>
      <c r="E13" s="106"/>
      <c r="F13" s="1"/>
      <c r="G13" s="64"/>
      <c r="H13" s="117">
        <f>C13</f>
        <v>0</v>
      </c>
      <c r="I13" s="64"/>
      <c r="J13" s="64"/>
      <c r="K13" s="64"/>
      <c r="L13" s="64"/>
      <c r="M13" s="64"/>
      <c r="N13" s="64"/>
      <c r="O13" s="64"/>
      <c r="P13" s="64"/>
      <c r="Q13" s="64"/>
      <c r="R13" s="64"/>
      <c r="S13" s="64"/>
      <c r="T13" s="64"/>
      <c r="U13" s="64"/>
      <c r="V13" s="64"/>
      <c r="W13" s="64"/>
      <c r="X13" s="64"/>
      <c r="Y13" s="64"/>
      <c r="Z13" s="64"/>
      <c r="AA13" s="64"/>
      <c r="AB13" s="64"/>
      <c r="AC13" s="64"/>
      <c r="AD13" s="64"/>
      <c r="AE13" s="64"/>
      <c r="AF13" s="64"/>
      <c r="AG13" s="64"/>
      <c r="AH13" s="64"/>
      <c r="AI13" s="64"/>
      <c r="AJ13" s="64"/>
      <c r="AK13" s="64"/>
      <c r="AL13" s="64"/>
      <c r="AM13" s="64"/>
      <c r="AN13" s="64"/>
    </row>
    <row r="14" spans="1:40" x14ac:dyDescent="0.35">
      <c r="A14" s="60"/>
      <c r="B14" s="105" t="s">
        <v>233</v>
      </c>
      <c r="C14" s="527"/>
      <c r="D14" s="510"/>
      <c r="E14" s="106"/>
      <c r="F14" s="1"/>
      <c r="G14" s="64"/>
      <c r="H14" s="117">
        <f t="shared" ref="H14" si="0">C14</f>
        <v>0</v>
      </c>
      <c r="I14" s="64"/>
      <c r="J14" s="64"/>
      <c r="K14" s="64"/>
      <c r="L14" s="64"/>
      <c r="M14" s="64"/>
      <c r="N14" s="64"/>
      <c r="O14" s="64"/>
      <c r="P14" s="64"/>
      <c r="Q14" s="64"/>
      <c r="R14" s="64"/>
      <c r="S14" s="64"/>
      <c r="T14" s="64"/>
      <c r="U14" s="64"/>
      <c r="V14" s="64"/>
      <c r="W14" s="64"/>
      <c r="X14" s="64"/>
      <c r="Y14" s="64"/>
      <c r="Z14" s="64"/>
      <c r="AA14" s="64"/>
      <c r="AB14" s="64"/>
      <c r="AC14" s="64"/>
      <c r="AD14" s="64"/>
      <c r="AE14" s="64"/>
      <c r="AF14" s="64"/>
      <c r="AG14" s="64"/>
      <c r="AH14" s="64"/>
      <c r="AI14" s="64"/>
      <c r="AJ14" s="64"/>
      <c r="AK14" s="64"/>
      <c r="AL14" s="64"/>
      <c r="AM14" s="64"/>
      <c r="AN14" s="64"/>
    </row>
    <row r="15" spans="1:40" x14ac:dyDescent="0.35">
      <c r="A15" s="60"/>
      <c r="B15" s="105" t="s">
        <v>234</v>
      </c>
      <c r="C15" s="534"/>
      <c r="D15" s="513" t="s">
        <v>94</v>
      </c>
      <c r="E15" s="145">
        <f>IF(D15="Yes",G15," ")</f>
        <v>0.03</v>
      </c>
      <c r="F15" s="1"/>
      <c r="G15" s="188">
        <f>Assumptions!$D$115</f>
        <v>0.03</v>
      </c>
      <c r="H15" s="188">
        <f t="shared" ref="H15:H16" si="1">IF(D15="Yes",E15,C15)</f>
        <v>0.03</v>
      </c>
      <c r="I15" s="166">
        <f>IF(AND(D15="No",ISBLANK(C15)),1,IF(D15="Yes",IF(E15=0,1,0),0))</f>
        <v>0</v>
      </c>
      <c r="J15" s="64"/>
      <c r="K15" s="64"/>
      <c r="L15" s="64"/>
      <c r="M15" s="64"/>
      <c r="N15" s="64"/>
      <c r="O15" s="64"/>
      <c r="P15" s="64"/>
      <c r="Q15" s="64"/>
      <c r="R15" s="64"/>
      <c r="S15" s="64"/>
      <c r="T15" s="64"/>
      <c r="U15" s="64"/>
      <c r="V15" s="64"/>
      <c r="W15" s="64"/>
      <c r="X15" s="64"/>
      <c r="Y15" s="64"/>
      <c r="Z15" s="64"/>
      <c r="AA15" s="64"/>
      <c r="AB15" s="64"/>
      <c r="AC15" s="64"/>
      <c r="AD15" s="64"/>
      <c r="AE15" s="64"/>
      <c r="AF15" s="64"/>
      <c r="AG15" s="64"/>
      <c r="AH15" s="64"/>
      <c r="AI15" s="64"/>
      <c r="AJ15" s="64"/>
      <c r="AK15" s="64"/>
      <c r="AL15" s="64"/>
      <c r="AM15" s="64"/>
      <c r="AN15" s="64"/>
    </row>
    <row r="16" spans="1:40" x14ac:dyDescent="0.35">
      <c r="A16" s="60"/>
      <c r="B16" s="105" t="s">
        <v>235</v>
      </c>
      <c r="C16" s="535"/>
      <c r="D16" s="513" t="s">
        <v>94</v>
      </c>
      <c r="E16" s="142">
        <f>IF(D16="Yes",G16," ")</f>
        <v>11.5</v>
      </c>
      <c r="F16" s="1"/>
      <c r="G16" s="118">
        <f>Assumptions!$D$111</f>
        <v>11.5</v>
      </c>
      <c r="H16" s="118">
        <f t="shared" si="1"/>
        <v>11.5</v>
      </c>
      <c r="I16" s="166">
        <f>IF(AND(D16="No",ISBLANK(C16)),1,IF(D16="Yes",IF(E16=0,1,0),0))</f>
        <v>0</v>
      </c>
      <c r="J16" s="64"/>
      <c r="K16" s="64"/>
      <c r="L16" s="64"/>
      <c r="M16" s="64"/>
      <c r="N16" s="64"/>
      <c r="O16" s="64"/>
      <c r="P16" s="64"/>
      <c r="Q16" s="64"/>
      <c r="R16" s="64"/>
      <c r="S16" s="64"/>
      <c r="T16" s="64"/>
      <c r="U16" s="64"/>
      <c r="V16" s="64"/>
      <c r="W16" s="64"/>
      <c r="X16" s="64"/>
      <c r="Y16" s="64"/>
      <c r="Z16" s="64"/>
      <c r="AA16" s="64"/>
      <c r="AB16" s="64"/>
      <c r="AC16" s="64"/>
      <c r="AD16" s="64"/>
      <c r="AE16" s="64"/>
      <c r="AF16" s="64"/>
      <c r="AG16" s="64"/>
      <c r="AH16" s="64"/>
      <c r="AI16" s="64"/>
      <c r="AJ16" s="64"/>
      <c r="AK16" s="64"/>
      <c r="AL16" s="64"/>
      <c r="AM16" s="64"/>
      <c r="AN16" s="64"/>
    </row>
    <row r="17" spans="1:40" x14ac:dyDescent="0.35">
      <c r="A17" s="60"/>
      <c r="B17" s="100"/>
      <c r="C17" s="101"/>
      <c r="D17" s="101"/>
      <c r="E17" s="101"/>
      <c r="F17" s="1"/>
      <c r="G17" s="64"/>
      <c r="H17" s="104"/>
      <c r="I17" s="64"/>
      <c r="J17" s="64"/>
      <c r="K17" s="64"/>
      <c r="L17" s="64"/>
      <c r="M17" s="64"/>
      <c r="N17" s="64"/>
      <c r="O17" s="64"/>
      <c r="P17" s="64"/>
      <c r="Q17" s="64"/>
      <c r="R17" s="64"/>
      <c r="S17" s="64"/>
      <c r="T17" s="64"/>
      <c r="U17" s="64"/>
      <c r="V17" s="64"/>
      <c r="W17" s="64"/>
      <c r="X17" s="64"/>
      <c r="Y17" s="64"/>
      <c r="Z17" s="64"/>
      <c r="AA17" s="64"/>
      <c r="AB17" s="64"/>
      <c r="AC17" s="64"/>
      <c r="AD17" s="64"/>
      <c r="AE17" s="64"/>
      <c r="AF17" s="64"/>
      <c r="AG17" s="64"/>
      <c r="AH17" s="64"/>
      <c r="AI17" s="64"/>
      <c r="AJ17" s="64"/>
      <c r="AK17" s="64"/>
      <c r="AL17" s="64"/>
      <c r="AM17" s="64"/>
      <c r="AN17" s="64"/>
    </row>
    <row r="18" spans="1:40" x14ac:dyDescent="0.35">
      <c r="A18" s="65"/>
      <c r="B18" s="103"/>
      <c r="C18" s="104"/>
      <c r="D18" s="104"/>
      <c r="E18" s="104"/>
      <c r="F18" s="64"/>
      <c r="G18" s="64"/>
      <c r="H18" s="104"/>
      <c r="I18" s="64"/>
      <c r="J18" s="64"/>
      <c r="K18" s="64"/>
      <c r="L18" s="64"/>
      <c r="M18" s="64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  <c r="Y18" s="64"/>
      <c r="Z18" s="64"/>
      <c r="AA18" s="64"/>
      <c r="AB18" s="64"/>
      <c r="AC18" s="64"/>
      <c r="AD18" s="64"/>
      <c r="AE18" s="64"/>
      <c r="AF18" s="64"/>
      <c r="AG18" s="64"/>
      <c r="AH18" s="64"/>
      <c r="AI18" s="64"/>
      <c r="AJ18" s="64"/>
      <c r="AK18" s="64"/>
      <c r="AL18" s="64"/>
      <c r="AM18" s="64"/>
      <c r="AN18" s="64"/>
    </row>
    <row r="19" spans="1:40" ht="15.5" x14ac:dyDescent="0.35">
      <c r="A19" s="60"/>
      <c r="B19" s="61" t="s">
        <v>96</v>
      </c>
      <c r="C19" s="1"/>
      <c r="D19" s="1"/>
      <c r="E19" s="1"/>
      <c r="F19" s="1"/>
      <c r="G19" s="64"/>
      <c r="H19" s="64"/>
      <c r="I19" s="64"/>
      <c r="J19" s="64"/>
      <c r="K19" s="64"/>
      <c r="L19" s="64"/>
      <c r="M19" s="64"/>
      <c r="N19" s="64"/>
      <c r="O19" s="64"/>
      <c r="P19" s="64"/>
      <c r="Q19" s="64"/>
      <c r="R19" s="64"/>
      <c r="S19" s="64"/>
      <c r="T19" s="64"/>
      <c r="U19" s="64"/>
      <c r="V19" s="64"/>
      <c r="W19" s="64"/>
      <c r="X19" s="64"/>
      <c r="Y19" s="64"/>
      <c r="Z19" s="64"/>
      <c r="AA19" s="64"/>
      <c r="AB19" s="64"/>
      <c r="AC19" s="64"/>
      <c r="AD19" s="64"/>
      <c r="AE19" s="64"/>
      <c r="AF19" s="64"/>
      <c r="AG19" s="64"/>
      <c r="AH19" s="64"/>
      <c r="AI19" s="64"/>
      <c r="AJ19" s="64"/>
      <c r="AK19" s="64"/>
      <c r="AL19" s="64"/>
      <c r="AM19" s="64"/>
      <c r="AN19" s="64"/>
    </row>
    <row r="20" spans="1:40" x14ac:dyDescent="0.35">
      <c r="A20" s="60"/>
      <c r="B20" s="1"/>
      <c r="C20" s="1"/>
      <c r="D20" s="1"/>
      <c r="E20" s="1"/>
      <c r="F20" s="1"/>
      <c r="G20" s="64"/>
      <c r="H20" s="64"/>
      <c r="I20" s="64"/>
      <c r="J20" s="64"/>
      <c r="K20" s="64"/>
      <c r="L20" s="64"/>
      <c r="M20" s="64"/>
      <c r="N20" s="64"/>
      <c r="O20" s="64"/>
      <c r="P20" s="64"/>
      <c r="Q20" s="64"/>
      <c r="R20" s="64"/>
      <c r="S20" s="64"/>
      <c r="T20" s="64"/>
      <c r="U20" s="64"/>
      <c r="V20" s="64"/>
      <c r="W20" s="64"/>
      <c r="X20" s="64"/>
      <c r="Y20" s="64"/>
      <c r="Z20" s="64"/>
      <c r="AA20" s="64"/>
      <c r="AB20" s="64"/>
      <c r="AC20" s="64"/>
      <c r="AD20" s="64"/>
      <c r="AE20" s="64"/>
      <c r="AF20" s="64"/>
      <c r="AG20" s="64"/>
      <c r="AH20" s="64"/>
      <c r="AI20" s="64"/>
      <c r="AJ20" s="64"/>
      <c r="AK20" s="64"/>
      <c r="AL20" s="64"/>
      <c r="AM20" s="64"/>
      <c r="AN20" s="64"/>
    </row>
    <row r="21" spans="1:40" x14ac:dyDescent="0.35">
      <c r="A21" s="60"/>
      <c r="B21" s="102" t="s">
        <v>84</v>
      </c>
      <c r="C21" s="102" t="s">
        <v>85</v>
      </c>
      <c r="D21" s="1"/>
      <c r="E21" s="1"/>
      <c r="F21" s="1"/>
      <c r="G21" s="64"/>
      <c r="H21" s="115"/>
      <c r="I21" s="64"/>
      <c r="J21" s="64"/>
      <c r="K21" s="64"/>
      <c r="L21" s="64"/>
      <c r="M21" s="64"/>
      <c r="N21" s="64"/>
      <c r="O21" s="64"/>
      <c r="P21" s="64"/>
      <c r="Q21" s="64"/>
      <c r="R21" s="64"/>
      <c r="S21" s="64"/>
      <c r="T21" s="64"/>
      <c r="U21" s="64"/>
      <c r="V21" s="64"/>
      <c r="W21" s="64"/>
      <c r="X21" s="64"/>
      <c r="Y21" s="64"/>
      <c r="Z21" s="64"/>
      <c r="AA21" s="64"/>
      <c r="AB21" s="64"/>
      <c r="AC21" s="64"/>
      <c r="AD21" s="64"/>
      <c r="AE21" s="64"/>
      <c r="AF21" s="64"/>
      <c r="AG21" s="64"/>
      <c r="AH21" s="64"/>
      <c r="AI21" s="64"/>
      <c r="AJ21" s="64"/>
      <c r="AK21" s="64"/>
      <c r="AL21" s="64"/>
      <c r="AM21" s="64"/>
      <c r="AN21" s="64"/>
    </row>
    <row r="22" spans="1:40" x14ac:dyDescent="0.35">
      <c r="A22" s="60"/>
      <c r="B22" s="105" t="s">
        <v>97</v>
      </c>
      <c r="C22" s="200">
        <f>Assumptions!$D$113</f>
        <v>1.32</v>
      </c>
      <c r="D22" s="1"/>
      <c r="E22" s="1"/>
      <c r="F22" s="1"/>
      <c r="G22" s="143"/>
      <c r="H22" s="124">
        <f>C22</f>
        <v>1.32</v>
      </c>
      <c r="I22" s="64"/>
      <c r="J22" s="64"/>
      <c r="K22" s="64"/>
      <c r="L22" s="64"/>
      <c r="M22" s="64"/>
      <c r="N22" s="64"/>
      <c r="O22" s="64"/>
      <c r="P22" s="64"/>
      <c r="Q22" s="64"/>
      <c r="R22" s="64"/>
      <c r="S22" s="64"/>
      <c r="T22" s="64"/>
      <c r="U22" s="64"/>
      <c r="V22" s="64"/>
      <c r="W22" s="64"/>
      <c r="X22" s="64"/>
      <c r="Y22" s="64"/>
      <c r="Z22" s="64"/>
      <c r="AA22" s="64"/>
      <c r="AB22" s="64"/>
      <c r="AC22" s="64"/>
      <c r="AD22" s="64"/>
      <c r="AE22" s="64"/>
      <c r="AF22" s="64"/>
      <c r="AG22" s="64"/>
      <c r="AH22" s="64"/>
      <c r="AI22" s="64"/>
      <c r="AJ22" s="64"/>
      <c r="AK22" s="64"/>
      <c r="AL22" s="64"/>
      <c r="AM22" s="64"/>
      <c r="AN22" s="64"/>
    </row>
    <row r="23" spans="1:40" x14ac:dyDescent="0.35">
      <c r="A23" s="60"/>
      <c r="B23" s="105" t="s">
        <v>158</v>
      </c>
      <c r="C23" s="300">
        <f>Assumptions!$D$116</f>
        <v>2</v>
      </c>
      <c r="D23" s="1"/>
      <c r="E23" s="1"/>
      <c r="F23" s="1"/>
      <c r="G23" s="143"/>
      <c r="H23" s="125">
        <f>C23</f>
        <v>2</v>
      </c>
      <c r="I23" s="64"/>
      <c r="J23" s="64"/>
      <c r="K23" s="64"/>
      <c r="L23" s="64"/>
      <c r="M23" s="64"/>
      <c r="N23" s="64"/>
      <c r="O23" s="64"/>
      <c r="P23" s="64"/>
      <c r="Q23" s="64"/>
      <c r="R23" s="64"/>
      <c r="S23" s="64"/>
      <c r="T23" s="64"/>
      <c r="U23" s="64"/>
      <c r="V23" s="64"/>
      <c r="W23" s="64"/>
      <c r="X23" s="64"/>
      <c r="Y23" s="64"/>
      <c r="Z23" s="64"/>
      <c r="AA23" s="64"/>
      <c r="AB23" s="64"/>
      <c r="AC23" s="64"/>
      <c r="AD23" s="64"/>
      <c r="AE23" s="64"/>
      <c r="AF23" s="64"/>
      <c r="AG23" s="64"/>
      <c r="AH23" s="64"/>
      <c r="AI23" s="64"/>
      <c r="AJ23" s="64"/>
      <c r="AK23" s="64"/>
      <c r="AL23" s="64"/>
      <c r="AM23" s="64"/>
      <c r="AN23" s="64"/>
    </row>
    <row r="24" spans="1:40" x14ac:dyDescent="0.35">
      <c r="A24" s="1"/>
      <c r="B24" s="44"/>
      <c r="C24" s="62"/>
      <c r="D24" s="1"/>
      <c r="E24" s="1"/>
      <c r="F24" s="1"/>
      <c r="G24" s="64"/>
      <c r="H24" s="116"/>
      <c r="I24" s="64"/>
      <c r="J24" s="64"/>
      <c r="K24" s="64"/>
      <c r="L24" s="64"/>
      <c r="M24" s="64"/>
      <c r="N24" s="64"/>
      <c r="O24" s="64"/>
      <c r="P24" s="64"/>
      <c r="Q24" s="64"/>
      <c r="R24" s="64"/>
      <c r="S24" s="64"/>
      <c r="T24" s="64"/>
      <c r="U24" s="64"/>
      <c r="V24" s="64"/>
      <c r="W24" s="64"/>
      <c r="X24" s="64"/>
      <c r="Y24" s="64"/>
      <c r="Z24" s="64"/>
      <c r="AA24" s="64"/>
      <c r="AB24" s="64"/>
      <c r="AC24" s="64"/>
      <c r="AD24" s="64"/>
      <c r="AE24" s="64"/>
      <c r="AF24" s="64"/>
      <c r="AG24" s="64"/>
      <c r="AH24" s="64"/>
      <c r="AI24" s="64"/>
      <c r="AJ24" s="64"/>
      <c r="AK24" s="64"/>
      <c r="AL24" s="64"/>
      <c r="AM24" s="64"/>
      <c r="AN24" s="64"/>
    </row>
    <row r="25" spans="1:40" x14ac:dyDescent="0.35">
      <c r="A25" s="64"/>
      <c r="B25" s="64"/>
      <c r="C25" s="64"/>
      <c r="D25" s="64"/>
      <c r="E25" s="64"/>
      <c r="F25" s="64"/>
      <c r="G25" s="64"/>
      <c r="H25" s="64"/>
      <c r="I25" s="64"/>
      <c r="J25" s="64"/>
      <c r="K25" s="64"/>
      <c r="L25" s="64"/>
      <c r="M25" s="64"/>
      <c r="N25" s="64"/>
      <c r="O25" s="64"/>
      <c r="P25" s="64"/>
      <c r="Q25" s="64"/>
      <c r="R25" s="64"/>
      <c r="S25" s="64"/>
      <c r="T25" s="64"/>
      <c r="U25" s="64"/>
      <c r="V25" s="64"/>
      <c r="W25" s="64"/>
      <c r="X25" s="64"/>
      <c r="Y25" s="64"/>
      <c r="Z25" s="64"/>
      <c r="AA25" s="64"/>
      <c r="AB25" s="64"/>
      <c r="AC25" s="64"/>
      <c r="AD25" s="64"/>
      <c r="AE25" s="64"/>
      <c r="AF25" s="64"/>
      <c r="AG25" s="64"/>
      <c r="AH25" s="64"/>
      <c r="AI25" s="64"/>
      <c r="AJ25" s="64"/>
      <c r="AK25" s="64"/>
      <c r="AL25" s="64"/>
      <c r="AM25" s="64"/>
      <c r="AN25" s="64"/>
    </row>
    <row r="26" spans="1:40" ht="15.5" x14ac:dyDescent="0.35">
      <c r="A26" s="1"/>
      <c r="B26" s="61" t="s">
        <v>99</v>
      </c>
      <c r="C26" s="1"/>
      <c r="D26" s="1"/>
      <c r="E26" s="1"/>
      <c r="F26" s="1"/>
      <c r="G26" s="64"/>
      <c r="H26" s="64"/>
      <c r="I26" s="64"/>
      <c r="J26" s="64"/>
      <c r="K26" s="64"/>
      <c r="L26" s="64"/>
      <c r="M26" s="64"/>
      <c r="N26" s="64"/>
      <c r="O26" s="64"/>
      <c r="P26" s="64"/>
      <c r="Q26" s="64"/>
      <c r="R26" s="64"/>
      <c r="S26" s="64"/>
      <c r="T26" s="64"/>
      <c r="U26" s="64"/>
      <c r="V26" s="64"/>
      <c r="W26" s="64"/>
      <c r="X26" s="64"/>
      <c r="Y26" s="64"/>
      <c r="Z26" s="64"/>
      <c r="AA26" s="64"/>
      <c r="AB26" s="64"/>
      <c r="AC26" s="64"/>
      <c r="AD26" s="64"/>
      <c r="AE26" s="64"/>
      <c r="AF26" s="64"/>
      <c r="AG26" s="64"/>
      <c r="AH26" s="64"/>
      <c r="AI26" s="64"/>
      <c r="AJ26" s="64"/>
      <c r="AK26" s="64"/>
      <c r="AL26" s="64"/>
      <c r="AM26" s="64"/>
      <c r="AN26" s="64"/>
    </row>
    <row r="27" spans="1:40" x14ac:dyDescent="0.35">
      <c r="A27" s="1"/>
      <c r="B27" s="1"/>
      <c r="C27" s="1"/>
      <c r="D27" s="1"/>
      <c r="E27" s="1"/>
      <c r="F27" s="1"/>
      <c r="G27" s="64"/>
      <c r="H27" s="64"/>
      <c r="I27" s="64"/>
      <c r="J27" s="64"/>
      <c r="K27" s="64" t="s">
        <v>128</v>
      </c>
      <c r="L27" s="64"/>
      <c r="M27" s="64"/>
      <c r="N27" s="64"/>
      <c r="O27" s="64"/>
      <c r="P27" s="64"/>
      <c r="Q27" s="64"/>
      <c r="R27" s="64"/>
      <c r="S27" s="64"/>
      <c r="T27" s="64"/>
      <c r="U27" s="64"/>
      <c r="V27" s="64"/>
      <c r="W27" s="64"/>
      <c r="X27" s="64"/>
      <c r="Y27" s="64"/>
      <c r="Z27" s="64"/>
      <c r="AA27" s="64"/>
      <c r="AB27" s="64"/>
      <c r="AC27" s="64"/>
      <c r="AD27" s="64"/>
      <c r="AE27" s="64"/>
      <c r="AF27" s="64"/>
      <c r="AG27" s="64"/>
      <c r="AH27" s="64"/>
      <c r="AI27" s="64"/>
      <c r="AJ27" s="64"/>
      <c r="AK27" s="64"/>
      <c r="AL27" s="64"/>
      <c r="AM27" s="64"/>
      <c r="AN27" s="64"/>
    </row>
    <row r="28" spans="1:40" ht="26.5" x14ac:dyDescent="0.35">
      <c r="A28" s="1"/>
      <c r="B28" s="102" t="s">
        <v>84</v>
      </c>
      <c r="C28" s="102" t="s">
        <v>85</v>
      </c>
      <c r="D28" s="1"/>
      <c r="E28" s="1"/>
      <c r="F28" s="1"/>
      <c r="G28" s="64"/>
      <c r="H28" s="115"/>
      <c r="I28" s="64"/>
      <c r="J28" s="64"/>
      <c r="K28" s="56" t="s">
        <v>100</v>
      </c>
      <c r="L28" s="57" t="s">
        <v>150</v>
      </c>
      <c r="M28" s="57" t="s">
        <v>102</v>
      </c>
      <c r="N28" s="57" t="s">
        <v>151</v>
      </c>
      <c r="O28" s="58">
        <v>2018</v>
      </c>
      <c r="P28" s="59">
        <v>2030</v>
      </c>
      <c r="Q28" s="59">
        <v>2040</v>
      </c>
      <c r="R28" s="64"/>
      <c r="S28" s="64"/>
      <c r="T28" s="64"/>
      <c r="U28" s="64"/>
      <c r="V28" s="64"/>
      <c r="W28" s="64"/>
      <c r="X28" s="64"/>
      <c r="Y28" s="64"/>
      <c r="Z28" s="64"/>
      <c r="AA28" s="64"/>
      <c r="AB28" s="64"/>
      <c r="AC28" s="64"/>
      <c r="AD28" s="64"/>
      <c r="AE28" s="64"/>
      <c r="AF28" s="64"/>
      <c r="AG28" s="64"/>
      <c r="AH28" s="64"/>
      <c r="AI28" s="64"/>
      <c r="AJ28" s="64"/>
      <c r="AK28" s="64"/>
      <c r="AL28" s="64"/>
      <c r="AM28" s="64"/>
      <c r="AN28" s="64"/>
    </row>
    <row r="29" spans="1:40" x14ac:dyDescent="0.35">
      <c r="A29" s="1"/>
      <c r="B29" s="105" t="s">
        <v>104</v>
      </c>
      <c r="C29" s="108">
        <f>IF($H$13&lt;2030,FORECAST($H$13,O29:P29,$O$28:$P$28),FORECAST($H$13,P29:Q29,$P$28:$Q$28))</f>
        <v>14163.40716666667</v>
      </c>
      <c r="D29" s="1"/>
      <c r="E29" s="1"/>
      <c r="F29" s="1"/>
      <c r="G29" s="64"/>
      <c r="H29" s="120">
        <f>C29</f>
        <v>14163.40716666667</v>
      </c>
      <c r="I29" s="64"/>
      <c r="J29" s="64"/>
      <c r="K29" s="53" t="s">
        <v>105</v>
      </c>
      <c r="L29" s="54" t="s">
        <v>106</v>
      </c>
      <c r="M29" s="98">
        <v>35</v>
      </c>
      <c r="N29" s="54" t="s">
        <v>107</v>
      </c>
      <c r="O29" s="55">
        <f>IF(L29="CO2eq",VLOOKUP(M29,'Emission Factors'!$G$3:$J$18,MATCH(K29,'Emission Factors'!$G$2:$J$2,0),0),IF(L29="CO",VLOOKUP($M29,'Emission Factors'!$G$19:$J$34,MATCH(K29,'Emission Factors'!$G$2:$J$2,0),0),IF(L29="PM2.5",VLOOKUP(M29,'Emission Factors'!$G$35:$J$50,MATCH(K29,'Emission Factors'!$G$2:$J$2,0),0),IF(L29="NOx",VLOOKUP(M29,'Emission Factors'!$G$51:$J$66,MATCH(K29,'Emission Factors'!$G$2:$J$2,0),0),VLOOKUP(M29,'Emission Factors'!$G$67:$J$82,MATCH(K29,'Emission Factors'!$G$2:$J$2,0),0)))))</f>
        <v>345.99299999999999</v>
      </c>
      <c r="P29" s="155">
        <f>IF($L29="CO2eq",VLOOKUP($M29,'Emission Factors'!$G$88:$J$103,MATCH($K29,'Emission Factors'!$G$87:$J$87,0),0),IF(L29="CO",VLOOKUP($M29,'Emission Factors'!$G$104:$J$119,MATCH(K29,'Emission Factors'!$G$2:$J$2,0),0),IF(L29="PM2.5",VLOOKUP(M29,'Emission Factors'!$G$120:$J$135,MATCH(K29,'Emission Factors'!$G$2:$J$2,0),0),IF(L29="NOx",VLOOKUP(M29,'Emission Factors'!$G$136:$J$151,MATCH(K29,'Emission Factors'!$G$2:$J$2,0),0),VLOOKUP(M29,'Emission Factors'!$G$152:$J$167,MATCH(K29,'Emission Factors'!$G$2:$J$2,0),0)))))</f>
        <v>263.82799999999997</v>
      </c>
      <c r="Q29" s="479">
        <f>IF($L29="CO2eq",VLOOKUP($M29, 'Emission Factors'!G172:J187,MATCH($K29,'Emission Factors'!$G$2:$J$2,0),0),IF(L29="CO",VLOOKUP($M29, 'Emission Factors'!$G$189:$J$204,MATCH(K29,'Emission Factors'!$G$2:$J$2,0),0),IF(L29="PM2.5",VLOOKUP(M29, 'Emission Factors'!$G$205:$J$220,MATCH(K29,'Emission Factors'!$G$2:$J$2,0),0),IF(L29="NOx",VLOOKUP(M29, 'Emission Factors'!$G$221:$J$236,MATCH(K29,'Emission Factors'!$G$2:$J$2,0),0),VLOOKUP(M29, 'Emission Factors'!$G$237:$J$252,MATCH(K29,'Emission Factors'!$G$2:$J$2,0),0)))))</f>
        <v>238.08</v>
      </c>
      <c r="R29" s="64"/>
      <c r="S29" s="64"/>
      <c r="T29" s="64"/>
      <c r="U29" s="64"/>
      <c r="V29" s="64"/>
      <c r="W29" s="64"/>
      <c r="X29" s="64"/>
      <c r="Y29" s="64"/>
      <c r="Z29" s="64"/>
      <c r="AA29" s="64"/>
      <c r="AB29" s="64"/>
      <c r="AC29" s="64"/>
      <c r="AD29" s="64"/>
      <c r="AE29" s="64"/>
      <c r="AF29" s="64"/>
      <c r="AG29" s="64"/>
      <c r="AH29" s="64"/>
      <c r="AI29" s="64"/>
      <c r="AJ29" s="64"/>
      <c r="AK29" s="64"/>
      <c r="AL29" s="64"/>
      <c r="AM29" s="64"/>
      <c r="AN29" s="64"/>
    </row>
    <row r="30" spans="1:40" x14ac:dyDescent="0.35">
      <c r="A30" s="1"/>
      <c r="B30" s="105" t="s">
        <v>108</v>
      </c>
      <c r="C30" s="108">
        <f>IF($H$13&lt;2030,FORECAST($H$13,O30:P30,$O$28:$P$28),FORECAST($H$13,P30:Q30,$P$28:$Q$28))</f>
        <v>248.39519333333331</v>
      </c>
      <c r="D30" s="1"/>
      <c r="E30" s="1"/>
      <c r="F30" s="1"/>
      <c r="G30" s="64"/>
      <c r="H30" s="120">
        <f t="shared" ref="H30:H33" si="2">C30</f>
        <v>248.39519333333331</v>
      </c>
      <c r="I30" s="64"/>
      <c r="J30" s="64"/>
      <c r="K30" s="48" t="s">
        <v>105</v>
      </c>
      <c r="L30" s="45" t="s">
        <v>109</v>
      </c>
      <c r="M30" s="99">
        <v>35</v>
      </c>
      <c r="N30" s="45" t="s">
        <v>107</v>
      </c>
      <c r="O30" s="46">
        <f>IF(L30="CO2eq",VLOOKUP(M30,'Emission Factors'!$G$3:$J$18,MATCH(K30,'Emission Factors'!$G$2:$J$2,0),0),IF(L30="CO",VLOOKUP($M30,'Emission Factors'!$G$19:$J$34,MATCH(K30,'Emission Factors'!$G$2:$J$2,0),0),IF(L30="PM2.5",VLOOKUP(M30,'Emission Factors'!$G$35:$J$50,MATCH(K30,'Emission Factors'!$G$2:$J$2,0),0),IF(L30="NOx",VLOOKUP(M30,'Emission Factors'!$G$51:$J$66,MATCH(K30,'Emission Factors'!$G$2:$J$2,0),0),VLOOKUP(M30,'Emission Factors'!$G$67:$J$82,MATCH(K30,'Emission Factors'!$G$2:$J$2,0),0)))))</f>
        <v>2.8012299999999999</v>
      </c>
      <c r="P30" s="156">
        <f>IF($L30="CO2eq",VLOOKUP($M30,'Emission Factors'!$G$88:$J$103,MATCH($K30,'Emission Factors'!$G$87:$J$87,0),0),IF(L30="CO",VLOOKUP($M30,'Emission Factors'!$G$104:$J$119,MATCH(K30,'Emission Factors'!$G$2:$J$2,0),0),IF(L30="PM2.5",VLOOKUP(M30,'Emission Factors'!$G$120:$J$135,MATCH(K30,'Emission Factors'!$G$2:$J$2,0),0),IF(L30="NOx",VLOOKUP(M30,'Emission Factors'!$G$136:$J$151,MATCH(K30,'Emission Factors'!$G$2:$J$2,0),0),VLOOKUP(M30,'Emission Factors'!$G$152:$J$167,MATCH(K30,'Emission Factors'!$G$2:$J$2,0),0)))))</f>
        <v>1.3408100000000001</v>
      </c>
      <c r="Q30" s="480">
        <f>IF($L30="CO2eq",VLOOKUP($M30, 'Emission Factors'!G173:J188,MATCH($K30,'Emission Factors'!$G$2:$J$2,0),0),IF(L30="CO",VLOOKUP($M30, 'Emission Factors'!$G$189:$J$204,MATCH(K30,'Emission Factors'!$G$2:$J$2,0),0),IF(L30="PM2.5",VLOOKUP(M30, 'Emission Factors'!$G$205:$J$220,MATCH(K30,'Emission Factors'!$G$2:$J$2,0),0),IF(L30="NOx",VLOOKUP(M30, 'Emission Factors'!$G$221:$J$236,MATCH(K30,'Emission Factors'!$G$2:$J$2,0),0),VLOOKUP(M30, 'Emission Factors'!$G$237:$J$252,MATCH(K30,'Emission Factors'!$G$2:$J$2,0),0)))))</f>
        <v>0.96630300000000002</v>
      </c>
      <c r="R30" s="64"/>
      <c r="S30" s="64"/>
      <c r="T30" s="64"/>
      <c r="U30" s="64"/>
      <c r="V30" s="64"/>
      <c r="W30" s="64"/>
      <c r="X30" s="64"/>
      <c r="Y30" s="64"/>
      <c r="Z30" s="64"/>
      <c r="AA30" s="64"/>
      <c r="AB30" s="64"/>
      <c r="AC30" s="64"/>
      <c r="AD30" s="64"/>
      <c r="AE30" s="64"/>
      <c r="AF30" s="64"/>
      <c r="AG30" s="64"/>
      <c r="AH30" s="64"/>
      <c r="AI30" s="64"/>
      <c r="AJ30" s="64"/>
      <c r="AK30" s="64"/>
      <c r="AL30" s="64"/>
      <c r="AM30" s="64"/>
      <c r="AN30" s="64"/>
    </row>
    <row r="31" spans="1:40" x14ac:dyDescent="0.35">
      <c r="A31" s="1"/>
      <c r="B31" s="105" t="s">
        <v>110</v>
      </c>
      <c r="C31" s="108">
        <f>IF($H$13&lt;2030,FORECAST($H$13,O31:P31,$O$28:$P$28),FORECAST($H$13,P31:Q31,$P$28:$Q$28))</f>
        <v>0.41422921833333326</v>
      </c>
      <c r="D31" s="1"/>
      <c r="E31" s="1"/>
      <c r="F31" s="1"/>
      <c r="G31" s="64"/>
      <c r="H31" s="120">
        <f t="shared" si="2"/>
        <v>0.41422921833333326</v>
      </c>
      <c r="I31" s="64"/>
      <c r="J31" s="64"/>
      <c r="K31" s="48" t="s">
        <v>105</v>
      </c>
      <c r="L31" s="45" t="s">
        <v>111</v>
      </c>
      <c r="M31" s="99">
        <v>35</v>
      </c>
      <c r="N31" s="45" t="s">
        <v>107</v>
      </c>
      <c r="O31" s="46">
        <f>IF(L31="CO2eq",VLOOKUP(M31,'Emission Factors'!$G$3:$J$18,MATCH(K31,'Emission Factors'!$G$2:$J$2,0),0),IF(L31="CO",VLOOKUP($M31,'Emission Factors'!$G$19:$J$34,MATCH(K31,'Emission Factors'!$G$2:$J$2,0),0),IF(L31="PM2.5",VLOOKUP(M31,'Emission Factors'!$G$35:$J$50,MATCH(K31,'Emission Factors'!$G$2:$J$2,0),0),IF(L31="NOx",VLOOKUP(M31,'Emission Factors'!$G$51:$J$66,MATCH(K31,'Emission Factors'!$G$2:$J$2,0),0),VLOOKUP(M31,'Emission Factors'!$G$67:$J$82,MATCH(K31,'Emission Factors'!$G$2:$J$2,0),0)))))</f>
        <v>3.88069E-3</v>
      </c>
      <c r="P31" s="156">
        <f>IF($L31="CO2eq",VLOOKUP($M31,'Emission Factors'!$G$88:$J$103,MATCH($K31,'Emission Factors'!$G$87:$J$87,0),0),IF(L31="CO",VLOOKUP($M31,'Emission Factors'!$G$104:$J$119,MATCH(K31,'Emission Factors'!$G$2:$J$2,0),0),IF(L31="PM2.5",VLOOKUP(M31,'Emission Factors'!$G$120:$J$135,MATCH(K31,'Emission Factors'!$G$2:$J$2,0),0),IF(L31="NOx",VLOOKUP(M31,'Emission Factors'!$G$136:$J$151,MATCH(K31,'Emission Factors'!$G$2:$J$2,0),0),VLOOKUP(M31,'Emission Factors'!$G$152:$J$167,MATCH(K31,'Emission Factors'!$G$2:$J$2,0),0)))))</f>
        <v>1.44056E-3</v>
      </c>
      <c r="Q31" s="480">
        <f>IF($L31="CO2eq",VLOOKUP($M31, 'Emission Factors'!G174:J189,MATCH($K31,'Emission Factors'!$G$2:$J$2,0),0),IF(L31="CO",VLOOKUP($M31, 'Emission Factors'!$G$189:$J$204,MATCH(K31,'Emission Factors'!$G$2:$J$2,0),0),IF(L31="PM2.5",VLOOKUP(M31, 'Emission Factors'!$G$205:$J$220,MATCH(K31,'Emission Factors'!$G$2:$J$2,0),0),IF(L31="NOx",VLOOKUP(M31, 'Emission Factors'!$G$221:$J$236,MATCH(K31,'Emission Factors'!$G$2:$J$2,0),0),VLOOKUP(M31, 'Emission Factors'!$G$237:$J$252,MATCH(K31,'Emission Factors'!$G$2:$J$2,0),0)))))</f>
        <v>1.0138199999999999E-3</v>
      </c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</row>
    <row r="32" spans="1:40" x14ac:dyDescent="0.35">
      <c r="A32" s="1"/>
      <c r="B32" s="105" t="s">
        <v>112</v>
      </c>
      <c r="C32" s="108">
        <f>IF($H$13&lt;2030,FORECAST($H$13,O32:P32,$O$28:$P$28),FORECAST($H$13,P32:Q32,$P$28:$Q$28))</f>
        <v>41.369416749999992</v>
      </c>
      <c r="D32" s="1"/>
      <c r="E32" s="1"/>
      <c r="F32" s="1"/>
      <c r="G32" s="64"/>
      <c r="H32" s="120">
        <f t="shared" si="2"/>
        <v>41.369416749999992</v>
      </c>
      <c r="I32" s="64"/>
      <c r="J32" s="64"/>
      <c r="K32" s="48" t="s">
        <v>105</v>
      </c>
      <c r="L32" s="45" t="s">
        <v>113</v>
      </c>
      <c r="M32" s="99">
        <v>35</v>
      </c>
      <c r="N32" s="45" t="s">
        <v>107</v>
      </c>
      <c r="O32" s="46">
        <f>IF(L32="CO2eq",VLOOKUP(M32,'Emission Factors'!$G$3:$J$18,MATCH(K32,'Emission Factors'!$G$2:$J$2,0),0),IF(L32="CO",VLOOKUP($M32,'Emission Factors'!$G$19:$J$34,MATCH(K32,'Emission Factors'!$G$2:$J$2,0),0),IF(L32="PM2.5",VLOOKUP(M32,'Emission Factors'!$G$35:$J$50,MATCH(K32,'Emission Factors'!$G$2:$J$2,0),0),IF(L32="NOx",VLOOKUP(M32,'Emission Factors'!$G$51:$J$66,MATCH(K32,'Emission Factors'!$G$2:$J$2,0),0),VLOOKUP(M32,'Emission Factors'!$G$67:$J$82,MATCH(K32,'Emission Factors'!$G$2:$J$2,0),0)))))</f>
        <v>0.31547700000000001</v>
      </c>
      <c r="P32" s="156">
        <f>IF($L32="CO2eq",VLOOKUP($M32,'Emission Factors'!$G$88:$J$103,MATCH($K32,'Emission Factors'!$G$87:$J$87,0),0),IF(L32="CO",VLOOKUP($M32,'Emission Factors'!$G$104:$J$119,MATCH(K32,'Emission Factors'!$G$2:$J$2,0),0),IF(L32="PM2.5",VLOOKUP(M32,'Emission Factors'!$G$120:$J$135,MATCH(K32,'Emission Factors'!$G$2:$J$2,0),0),IF(L32="NOx",VLOOKUP(M32,'Emission Factors'!$G$136:$J$151,MATCH(K32,'Emission Factors'!$G$2:$J$2,0),0),VLOOKUP(M32,'Emission Factors'!$G$152:$J$167,MATCH(K32,'Emission Factors'!$G$2:$J$2,0),0)))))</f>
        <v>7.1350499999999997E-2</v>
      </c>
      <c r="Q32" s="480">
        <f>IF($L32="CO2eq",VLOOKUP($M32, 'Emission Factors'!G175:J190,MATCH($K32,'Emission Factors'!$G$2:$J$2,0),0),IF(L32="CO",VLOOKUP($M32, 'Emission Factors'!$G$189:$J$204,MATCH(K32,'Emission Factors'!$G$2:$J$2,0),0),IF(L32="PM2.5",VLOOKUP(M32, 'Emission Factors'!$G$205:$J$220,MATCH(K32,'Emission Factors'!$G$2:$J$2,0),0),IF(L32="NOx",VLOOKUP(M32, 'Emission Factors'!$G$221:$J$236,MATCH(K32,'Emission Factors'!$G$2:$J$2,0),0),VLOOKUP(M32, 'Emission Factors'!$G$237:$J$252,MATCH(K32,'Emission Factors'!$G$2:$J$2,0),0)))))</f>
        <v>1.9481600000000002E-2</v>
      </c>
      <c r="R32" s="64"/>
      <c r="S32" s="64"/>
      <c r="T32" s="64"/>
      <c r="U32" s="64"/>
      <c r="V32" s="64"/>
      <c r="W32" s="64"/>
      <c r="X32" s="64"/>
      <c r="Y32" s="64"/>
      <c r="Z32" s="64"/>
      <c r="AA32" s="64"/>
      <c r="AB32" s="64"/>
      <c r="AC32" s="64"/>
      <c r="AD32" s="64"/>
      <c r="AE32" s="64"/>
      <c r="AF32" s="64"/>
      <c r="AG32" s="64"/>
      <c r="AH32" s="64"/>
      <c r="AI32" s="64"/>
      <c r="AJ32" s="64"/>
      <c r="AK32" s="64"/>
      <c r="AL32" s="64"/>
      <c r="AM32" s="64"/>
      <c r="AN32" s="64"/>
    </row>
    <row r="33" spans="1:40" x14ac:dyDescent="0.35">
      <c r="A33" s="1"/>
      <c r="B33" s="105" t="s">
        <v>114</v>
      </c>
      <c r="C33" s="108">
        <f>IF($H$13&lt;2030,FORECAST($H$13,O33:P33,$O$28:$P$28),FORECAST($H$13,P33:Q33,$P$28:$Q$28))</f>
        <v>8.1845177833333356</v>
      </c>
      <c r="D33" s="1"/>
      <c r="E33" s="1"/>
      <c r="F33" s="1"/>
      <c r="G33" s="64"/>
      <c r="H33" s="120">
        <f t="shared" si="2"/>
        <v>8.1845177833333356</v>
      </c>
      <c r="I33" s="64"/>
      <c r="J33" s="64"/>
      <c r="K33" s="49" t="s">
        <v>105</v>
      </c>
      <c r="L33" s="50" t="s">
        <v>115</v>
      </c>
      <c r="M33" s="51">
        <v>35</v>
      </c>
      <c r="N33" s="50" t="s">
        <v>107</v>
      </c>
      <c r="O33" s="52">
        <f>IF(L33="CO2eq",VLOOKUP(M33,'Emission Factors'!$G$3:$J$18,MATCH(K33,'Emission Factors'!$G$2:$J$2,0),0),IF(L33="CO",VLOOKUP($M33,'Emission Factors'!$G$19:$J$34,MATCH(K33,'Emission Factors'!$G$2:$J$2,0),0),IF(L33="PM2.5",VLOOKUP(M33,'Emission Factors'!$G$35:$J$50,MATCH(K33,'Emission Factors'!$G$2:$J$2,0),0),IF(L33="NOx",VLOOKUP(M33,'Emission Factors'!$G$51:$J$66,MATCH(K33,'Emission Factors'!$G$2:$J$2,0),0),VLOOKUP(M33,'Emission Factors'!$G$67:$J$82,MATCH(K33,'Emission Factors'!$G$2:$J$2,0),0)))))</f>
        <v>6.5010700000000005E-2</v>
      </c>
      <c r="P33" s="157">
        <f>IF($L33="CO2eq",VLOOKUP($M33,'Emission Factors'!$G$88:$J$103,MATCH($K33,'Emission Factors'!$G$87:$J$87,0),0),IF(L33="CO",VLOOKUP($M33,'Emission Factors'!$G$104:$J$119,MATCH(K33,'Emission Factors'!$G$2:$J$2,0),0),IF(L33="PM2.5",VLOOKUP(M33,'Emission Factors'!$G$120:$J$135,MATCH(K33,'Emission Factors'!$G$2:$J$2,0),0),IF(L33="NOx",VLOOKUP(M33,'Emission Factors'!$G$136:$J$151,MATCH(K33,'Emission Factors'!$G$2:$J$2,0),0),VLOOKUP(M33,'Emission Factors'!$G$152:$J$167,MATCH(K33,'Emission Factors'!$G$2:$J$2,0),0)))))</f>
        <v>1.6728199999999999E-2</v>
      </c>
      <c r="Q33" s="481">
        <f>IF($L33="CO2eq",VLOOKUP($M33, 'Emission Factors'!G176:J191,MATCH($K33,'Emission Factors'!$G$2:$J$2,0),0),IF(L33="CO",VLOOKUP($M33, 'Emission Factors'!$G$189:$J$204,MATCH(K33,'Emission Factors'!$G$2:$J$2,0),0),IF(L33="PM2.5",VLOOKUP(M33, 'Emission Factors'!$G$205:$J$220,MATCH(K33,'Emission Factors'!$G$2:$J$2,0),0),IF(L33="NOx",VLOOKUP(M33, 'Emission Factors'!$G$221:$J$236,MATCH(K33,'Emission Factors'!$G$2:$J$2,0),0),VLOOKUP(M33, 'Emission Factors'!$G$237:$J$252,MATCH(K33,'Emission Factors'!$G$2:$J$2,0),0)))))</f>
        <v>1.1268800000000001E-2</v>
      </c>
      <c r="R33" s="64"/>
      <c r="S33" s="64"/>
      <c r="T33" s="64"/>
      <c r="U33" s="64"/>
      <c r="V33" s="64"/>
      <c r="W33" s="64"/>
      <c r="X33" s="64"/>
      <c r="Y33" s="64"/>
      <c r="Z33" s="64"/>
      <c r="AA33" s="64"/>
      <c r="AB33" s="64"/>
      <c r="AC33" s="64"/>
      <c r="AD33" s="64"/>
      <c r="AE33" s="64"/>
      <c r="AF33" s="64"/>
      <c r="AG33" s="64"/>
      <c r="AH33" s="64"/>
      <c r="AI33" s="64"/>
      <c r="AJ33" s="64"/>
      <c r="AK33" s="64"/>
      <c r="AL33" s="64"/>
      <c r="AM33" s="64"/>
      <c r="AN33" s="64"/>
    </row>
    <row r="34" spans="1:40" x14ac:dyDescent="0.35">
      <c r="A34" s="1"/>
      <c r="B34" s="1"/>
      <c r="C34" s="1"/>
      <c r="D34" s="1"/>
      <c r="E34" s="1"/>
      <c r="F34" s="1"/>
      <c r="G34" s="64"/>
      <c r="H34" s="64"/>
      <c r="I34" s="64"/>
      <c r="J34" s="64"/>
      <c r="K34" s="64"/>
      <c r="L34" s="64"/>
      <c r="M34" s="64"/>
      <c r="N34" s="64"/>
      <c r="O34" s="64"/>
      <c r="P34" s="64"/>
      <c r="Q34" s="64"/>
      <c r="R34" s="64"/>
      <c r="S34" s="64"/>
      <c r="T34" s="64"/>
      <c r="U34" s="64"/>
      <c r="V34" s="64"/>
      <c r="W34" s="64"/>
      <c r="X34" s="64"/>
      <c r="Y34" s="64"/>
      <c r="Z34" s="64"/>
      <c r="AA34" s="64"/>
      <c r="AB34" s="64"/>
      <c r="AC34" s="64"/>
      <c r="AD34" s="64"/>
      <c r="AE34" s="64"/>
      <c r="AF34" s="64"/>
      <c r="AG34" s="64"/>
      <c r="AH34" s="64"/>
      <c r="AI34" s="64"/>
      <c r="AJ34" s="64"/>
      <c r="AK34" s="64"/>
      <c r="AL34" s="64"/>
      <c r="AM34" s="64"/>
      <c r="AN34" s="64"/>
    </row>
    <row r="35" spans="1:40" x14ac:dyDescent="0.35">
      <c r="A35" s="12"/>
      <c r="B35" s="64"/>
      <c r="C35" s="64"/>
      <c r="D35" s="64"/>
      <c r="E35" s="64"/>
      <c r="F35" s="64"/>
      <c r="G35" s="64"/>
      <c r="H35" s="64"/>
      <c r="I35" s="64"/>
      <c r="J35" s="64"/>
      <c r="K35" s="64"/>
      <c r="L35" s="64"/>
      <c r="M35" s="64"/>
      <c r="N35" s="64"/>
      <c r="O35" s="64"/>
      <c r="P35" s="64"/>
      <c r="Q35" s="64"/>
      <c r="R35" s="64"/>
      <c r="S35" s="64"/>
      <c r="T35" s="64"/>
      <c r="U35" s="64"/>
      <c r="V35" s="64"/>
      <c r="W35" s="64"/>
      <c r="X35" s="64"/>
      <c r="Y35" s="64"/>
      <c r="Z35" s="64"/>
      <c r="AA35" s="64"/>
      <c r="AB35" s="64"/>
      <c r="AC35" s="64"/>
      <c r="AD35" s="64"/>
      <c r="AE35" s="64"/>
      <c r="AF35" s="64"/>
      <c r="AG35" s="64"/>
      <c r="AH35" s="64"/>
      <c r="AI35" s="64"/>
      <c r="AJ35" s="64"/>
      <c r="AK35" s="64"/>
      <c r="AL35" s="64"/>
      <c r="AM35" s="64"/>
      <c r="AN35" s="64"/>
    </row>
    <row r="36" spans="1:40" ht="15.5" x14ac:dyDescent="0.35">
      <c r="A36" s="1"/>
      <c r="B36" s="61" t="s">
        <v>116</v>
      </c>
      <c r="C36" s="1"/>
      <c r="D36" s="1"/>
      <c r="E36" s="60"/>
      <c r="F36" s="60"/>
      <c r="G36" s="64"/>
      <c r="H36" s="64"/>
      <c r="I36" s="64"/>
      <c r="J36" s="64"/>
      <c r="K36" s="64"/>
      <c r="L36" s="64"/>
      <c r="M36" s="64"/>
      <c r="N36" s="64"/>
      <c r="O36" s="64"/>
      <c r="P36" s="64"/>
      <c r="Q36" s="64"/>
      <c r="R36" s="64"/>
      <c r="S36" s="64"/>
      <c r="T36" s="64"/>
      <c r="U36" s="64"/>
      <c r="V36" s="64"/>
      <c r="W36" s="64"/>
      <c r="X36" s="64"/>
      <c r="Y36" s="64"/>
      <c r="Z36" s="64"/>
      <c r="AA36" s="64"/>
      <c r="AB36" s="64"/>
      <c r="AC36" s="64"/>
      <c r="AD36" s="64"/>
      <c r="AE36" s="64"/>
      <c r="AF36" s="64"/>
      <c r="AG36" s="64"/>
      <c r="AH36" s="64"/>
      <c r="AI36" s="64"/>
      <c r="AJ36" s="64"/>
      <c r="AK36" s="64"/>
      <c r="AL36" s="64"/>
      <c r="AM36" s="64"/>
      <c r="AN36" s="64"/>
    </row>
    <row r="37" spans="1:40" x14ac:dyDescent="0.35">
      <c r="A37" s="60"/>
      <c r="B37" s="102" t="s">
        <v>84</v>
      </c>
      <c r="C37" s="102" t="s">
        <v>85</v>
      </c>
      <c r="D37" s="60"/>
      <c r="E37" s="60"/>
      <c r="F37" s="60"/>
      <c r="G37" s="64"/>
      <c r="H37" s="115"/>
      <c r="I37" s="64"/>
      <c r="J37" s="64"/>
      <c r="K37" s="64"/>
      <c r="L37" s="65"/>
      <c r="M37" s="65"/>
      <c r="N37" s="65"/>
      <c r="O37" s="65"/>
      <c r="P37" s="65"/>
      <c r="Q37" s="65"/>
      <c r="R37" s="65"/>
      <c r="S37" s="64"/>
      <c r="T37" s="64"/>
      <c r="U37" s="64"/>
      <c r="V37" s="64"/>
      <c r="W37" s="64"/>
      <c r="X37" s="64"/>
      <c r="Y37" s="64"/>
      <c r="Z37" s="65"/>
      <c r="AA37" s="65"/>
      <c r="AB37" s="65"/>
      <c r="AC37" s="65"/>
      <c r="AD37" s="65"/>
      <c r="AE37" s="65"/>
      <c r="AF37" s="65"/>
      <c r="AG37" s="65"/>
      <c r="AH37" s="65"/>
      <c r="AI37" s="65"/>
      <c r="AJ37" s="65"/>
      <c r="AK37" s="65"/>
      <c r="AL37" s="65"/>
      <c r="AM37" s="65"/>
      <c r="AN37" s="65"/>
    </row>
    <row r="38" spans="1:40" x14ac:dyDescent="0.35">
      <c r="A38" s="60"/>
      <c r="B38" s="112" t="s">
        <v>62</v>
      </c>
      <c r="C38" s="131">
        <f>IF(SUM(I15:I16)&gt;0,"[Error]",H14*H15/H22*(H16*H23))</f>
        <v>0</v>
      </c>
      <c r="D38" s="60"/>
      <c r="E38" s="60"/>
      <c r="F38" s="60"/>
      <c r="G38" s="64"/>
      <c r="H38" s="123">
        <f>C38</f>
        <v>0</v>
      </c>
      <c r="I38" s="64"/>
      <c r="J38" s="64"/>
      <c r="K38" s="64"/>
      <c r="L38" s="65"/>
      <c r="M38" s="65"/>
      <c r="N38" s="65"/>
      <c r="O38" s="65"/>
      <c r="P38" s="65"/>
      <c r="Q38" s="65"/>
      <c r="R38" s="65"/>
      <c r="S38" s="64"/>
      <c r="T38" s="64"/>
      <c r="U38" s="64"/>
      <c r="V38" s="64"/>
      <c r="W38" s="64"/>
      <c r="X38" s="64"/>
      <c r="Y38" s="64"/>
      <c r="Z38" s="65"/>
      <c r="AA38" s="65"/>
      <c r="AB38" s="65"/>
      <c r="AC38" s="65"/>
      <c r="AD38" s="65"/>
      <c r="AE38" s="65"/>
      <c r="AF38" s="65"/>
      <c r="AG38" s="65"/>
      <c r="AH38" s="65"/>
      <c r="AI38" s="65"/>
      <c r="AJ38" s="65"/>
      <c r="AK38" s="65"/>
      <c r="AL38" s="65"/>
      <c r="AM38" s="65"/>
      <c r="AN38" s="65"/>
    </row>
    <row r="39" spans="1:40" x14ac:dyDescent="0.35">
      <c r="A39" s="60"/>
      <c r="B39" s="111" t="s">
        <v>65</v>
      </c>
      <c r="C39" s="131">
        <f>IF(SUM(I$15:I$16)&gt;0,"[Error]",H$38*H29/1000)</f>
        <v>0</v>
      </c>
      <c r="D39" s="60"/>
      <c r="E39" s="60"/>
      <c r="F39" s="60"/>
      <c r="G39" s="64"/>
      <c r="H39" s="123">
        <f>C39</f>
        <v>0</v>
      </c>
      <c r="I39" s="64"/>
      <c r="J39" s="64"/>
      <c r="K39" s="64"/>
      <c r="L39" s="65"/>
      <c r="M39" s="65"/>
      <c r="N39" s="65"/>
      <c r="O39" s="65"/>
      <c r="P39" s="65"/>
      <c r="Q39" s="65"/>
      <c r="R39" s="65"/>
      <c r="S39" s="64"/>
      <c r="T39" s="64"/>
      <c r="U39" s="64"/>
      <c r="V39" s="64"/>
      <c r="W39" s="64"/>
      <c r="X39" s="64"/>
      <c r="Y39" s="64"/>
      <c r="Z39" s="65"/>
      <c r="AA39" s="65"/>
      <c r="AB39" s="65"/>
      <c r="AC39" s="65"/>
      <c r="AD39" s="65"/>
      <c r="AE39" s="65"/>
      <c r="AF39" s="65"/>
      <c r="AG39" s="65"/>
      <c r="AH39" s="65"/>
      <c r="AI39" s="65"/>
      <c r="AJ39" s="65"/>
      <c r="AK39" s="65"/>
      <c r="AL39" s="65"/>
      <c r="AM39" s="65"/>
      <c r="AN39" s="65"/>
    </row>
    <row r="40" spans="1:40" x14ac:dyDescent="0.35">
      <c r="A40" s="60"/>
      <c r="B40" s="111" t="s">
        <v>66</v>
      </c>
      <c r="C40" s="131">
        <f>IF(SUM(I$15:I$16)&gt;0,"[Error]",H$38*H30/1000)</f>
        <v>0</v>
      </c>
      <c r="D40" s="60"/>
      <c r="E40" s="60"/>
      <c r="F40" s="60"/>
      <c r="G40" s="64"/>
      <c r="H40" s="123">
        <f t="shared" ref="H40:H43" si="3">C40</f>
        <v>0</v>
      </c>
      <c r="I40" s="64"/>
      <c r="J40" s="64"/>
      <c r="K40" s="64"/>
      <c r="L40" s="65"/>
      <c r="M40" s="65"/>
      <c r="N40" s="65"/>
      <c r="O40" s="65"/>
      <c r="P40" s="65"/>
      <c r="Q40" s="65"/>
      <c r="R40" s="65"/>
      <c r="S40" s="64"/>
      <c r="T40" s="64"/>
      <c r="U40" s="64"/>
      <c r="V40" s="64"/>
      <c r="W40" s="64"/>
      <c r="X40" s="64"/>
      <c r="Y40" s="64"/>
      <c r="Z40" s="65"/>
      <c r="AA40" s="65"/>
      <c r="AB40" s="65"/>
      <c r="AC40" s="65"/>
      <c r="AD40" s="65"/>
      <c r="AE40" s="65"/>
      <c r="AF40" s="65"/>
      <c r="AG40" s="65"/>
      <c r="AH40" s="65"/>
      <c r="AI40" s="65"/>
      <c r="AJ40" s="65"/>
      <c r="AK40" s="65"/>
      <c r="AL40" s="65"/>
      <c r="AM40" s="65"/>
      <c r="AN40" s="65"/>
    </row>
    <row r="41" spans="1:40" x14ac:dyDescent="0.35">
      <c r="A41" s="60"/>
      <c r="B41" s="111" t="s">
        <v>67</v>
      </c>
      <c r="C41" s="131">
        <f>IF(SUM(I$15:I$16)&gt;0,"[Error]",H$38*H31/1000)</f>
        <v>0</v>
      </c>
      <c r="D41" s="1"/>
      <c r="E41" s="1"/>
      <c r="F41" s="1"/>
      <c r="G41" s="64"/>
      <c r="H41" s="123">
        <f t="shared" si="3"/>
        <v>0</v>
      </c>
      <c r="I41" s="64"/>
      <c r="J41" s="64"/>
      <c r="K41" s="64"/>
      <c r="L41" s="64"/>
      <c r="M41" s="65"/>
      <c r="N41" s="65"/>
      <c r="O41" s="65"/>
      <c r="P41" s="65"/>
      <c r="Q41" s="65"/>
      <c r="R41" s="65"/>
      <c r="S41" s="65"/>
      <c r="T41" s="65"/>
      <c r="U41" s="65"/>
      <c r="V41" s="65"/>
      <c r="W41" s="65"/>
      <c r="X41" s="65"/>
      <c r="Y41" s="65"/>
      <c r="Z41" s="65"/>
      <c r="AA41" s="65"/>
      <c r="AB41" s="65"/>
      <c r="AC41" s="65"/>
      <c r="AD41" s="65"/>
      <c r="AE41" s="65"/>
      <c r="AF41" s="65"/>
      <c r="AG41" s="65"/>
      <c r="AH41" s="65"/>
      <c r="AI41" s="65"/>
      <c r="AJ41" s="65"/>
      <c r="AK41" s="65"/>
      <c r="AL41" s="65"/>
      <c r="AM41" s="65"/>
      <c r="AN41" s="65"/>
    </row>
    <row r="42" spans="1:40" x14ac:dyDescent="0.35">
      <c r="A42" s="1"/>
      <c r="B42" s="111" t="s">
        <v>68</v>
      </c>
      <c r="C42" s="131">
        <f>IF(SUM(I$15:I$16)&gt;0,"[Error]",H$38*H32/1000)</f>
        <v>0</v>
      </c>
      <c r="D42" s="1"/>
      <c r="E42" s="1"/>
      <c r="F42" s="1"/>
      <c r="G42" s="64"/>
      <c r="H42" s="123">
        <f t="shared" si="3"/>
        <v>0</v>
      </c>
      <c r="I42" s="64"/>
      <c r="J42" s="64"/>
      <c r="K42" s="64"/>
      <c r="L42" s="64"/>
      <c r="M42" s="64"/>
      <c r="N42" s="64"/>
      <c r="O42" s="64"/>
      <c r="P42" s="64"/>
      <c r="Q42" s="64"/>
      <c r="R42" s="64"/>
      <c r="S42" s="64"/>
      <c r="T42" s="64"/>
      <c r="U42" s="64"/>
      <c r="V42" s="64"/>
      <c r="W42" s="64"/>
      <c r="X42" s="64"/>
      <c r="Y42" s="64"/>
      <c r="Z42" s="64"/>
      <c r="AA42" s="64"/>
      <c r="AB42" s="64"/>
      <c r="AC42" s="64"/>
      <c r="AD42" s="64"/>
      <c r="AE42" s="64"/>
      <c r="AF42" s="64"/>
      <c r="AG42" s="64"/>
      <c r="AH42" s="64"/>
      <c r="AI42" s="64"/>
      <c r="AJ42" s="64"/>
      <c r="AK42" s="64"/>
      <c r="AL42" s="64"/>
      <c r="AM42" s="64"/>
      <c r="AN42" s="64"/>
    </row>
    <row r="43" spans="1:40" x14ac:dyDescent="0.35">
      <c r="A43" s="1"/>
      <c r="B43" s="111" t="s">
        <v>69</v>
      </c>
      <c r="C43" s="131">
        <f>IF(SUM(I$15:I$16)&gt;0,"[Error]",H$38*H33/1000)</f>
        <v>0</v>
      </c>
      <c r="D43" s="1"/>
      <c r="E43" s="1"/>
      <c r="F43" s="1"/>
      <c r="G43" s="64"/>
      <c r="H43" s="123">
        <f t="shared" si="3"/>
        <v>0</v>
      </c>
      <c r="I43" s="64"/>
      <c r="J43" s="64"/>
      <c r="K43" s="64"/>
      <c r="L43" s="64"/>
      <c r="M43" s="64"/>
      <c r="N43" s="64"/>
      <c r="O43" s="64"/>
      <c r="P43" s="64"/>
      <c r="Q43" s="64"/>
      <c r="R43" s="64"/>
      <c r="S43" s="64"/>
      <c r="T43" s="64"/>
      <c r="U43" s="64"/>
      <c r="V43" s="64"/>
      <c r="W43" s="64"/>
      <c r="X43" s="64"/>
      <c r="Y43" s="64"/>
      <c r="Z43" s="64"/>
      <c r="AA43" s="64"/>
      <c r="AB43" s="64"/>
      <c r="AC43" s="64"/>
      <c r="AD43" s="64"/>
      <c r="AE43" s="64"/>
      <c r="AF43" s="64"/>
      <c r="AG43" s="64"/>
      <c r="AH43" s="64"/>
      <c r="AI43" s="64"/>
      <c r="AJ43" s="64"/>
      <c r="AK43" s="64"/>
      <c r="AL43" s="64"/>
      <c r="AM43" s="64"/>
      <c r="AN43" s="64"/>
    </row>
    <row r="44" spans="1:40" x14ac:dyDescent="0.35">
      <c r="A44" s="1"/>
      <c r="B44" s="1"/>
      <c r="C44" s="1"/>
      <c r="D44" s="1"/>
      <c r="E44" s="1"/>
      <c r="F44" s="1"/>
      <c r="G44" s="64"/>
      <c r="H44" s="64"/>
      <c r="I44" s="64"/>
      <c r="J44" s="64"/>
      <c r="K44" s="64"/>
      <c r="L44" s="64"/>
      <c r="M44" s="64"/>
      <c r="N44" s="64"/>
      <c r="O44" s="64"/>
      <c r="P44" s="64"/>
      <c r="Q44" s="64"/>
      <c r="R44" s="64"/>
      <c r="S44" s="64"/>
      <c r="T44" s="64"/>
      <c r="U44" s="64"/>
      <c r="V44" s="64"/>
      <c r="W44" s="64"/>
      <c r="X44" s="64"/>
      <c r="Y44" s="64"/>
      <c r="Z44" s="64"/>
      <c r="AA44" s="64"/>
      <c r="AB44" s="64"/>
      <c r="AC44" s="64"/>
      <c r="AD44" s="64"/>
      <c r="AE44" s="64"/>
      <c r="AF44" s="64"/>
      <c r="AG44" s="64"/>
      <c r="AH44" s="64"/>
      <c r="AI44" s="64"/>
      <c r="AJ44" s="64"/>
      <c r="AK44" s="64"/>
      <c r="AL44" s="64"/>
      <c r="AM44" s="64"/>
      <c r="AN44" s="64"/>
    </row>
    <row r="45" spans="1:40" x14ac:dyDescent="0.35">
      <c r="A45" s="64"/>
      <c r="B45" s="64"/>
      <c r="C45" s="64"/>
      <c r="D45" s="64"/>
      <c r="E45" s="64"/>
      <c r="F45" s="64"/>
      <c r="G45" s="64"/>
      <c r="H45" s="64"/>
      <c r="I45" s="64"/>
      <c r="J45" s="64"/>
      <c r="K45" s="64"/>
      <c r="L45" s="64"/>
      <c r="M45" s="64"/>
      <c r="N45" s="64"/>
      <c r="O45" s="64"/>
      <c r="P45" s="64"/>
      <c r="Q45" s="64"/>
      <c r="R45" s="64"/>
      <c r="S45" s="64"/>
      <c r="T45" s="64"/>
      <c r="U45" s="64"/>
      <c r="V45" s="64"/>
      <c r="W45" s="64"/>
      <c r="X45" s="64"/>
      <c r="Y45" s="64"/>
      <c r="Z45" s="64"/>
      <c r="AA45" s="64"/>
      <c r="AB45" s="64"/>
      <c r="AC45" s="64"/>
      <c r="AD45" s="64"/>
      <c r="AE45" s="64"/>
      <c r="AF45" s="64"/>
      <c r="AG45" s="64"/>
      <c r="AH45" s="64"/>
      <c r="AI45" s="64"/>
      <c r="AJ45" s="64"/>
      <c r="AK45" s="64"/>
      <c r="AL45" s="64"/>
      <c r="AM45" s="64"/>
      <c r="AN45" s="64"/>
    </row>
    <row r="46" spans="1:40" x14ac:dyDescent="0.35">
      <c r="A46" s="64"/>
      <c r="B46" s="64"/>
      <c r="C46" s="64"/>
      <c r="D46" s="64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4"/>
      <c r="AC46" s="64"/>
      <c r="AD46" s="64"/>
      <c r="AE46" s="64"/>
      <c r="AF46" s="64"/>
      <c r="AG46" s="64"/>
      <c r="AH46" s="64"/>
      <c r="AI46" s="64"/>
      <c r="AJ46" s="64"/>
      <c r="AK46" s="64"/>
      <c r="AL46" s="64"/>
      <c r="AM46" s="64"/>
      <c r="AN46" s="64"/>
    </row>
    <row r="47" spans="1:40" x14ac:dyDescent="0.35">
      <c r="A47" s="64"/>
      <c r="B47" s="64"/>
      <c r="C47" s="64"/>
      <c r="D47" s="64"/>
      <c r="E47" s="64"/>
      <c r="F47" s="64"/>
      <c r="G47" s="64"/>
      <c r="H47" s="64"/>
      <c r="I47" s="64"/>
      <c r="J47" s="64"/>
      <c r="K47" s="64"/>
      <c r="L47" s="64"/>
      <c r="M47" s="64"/>
      <c r="N47" s="64"/>
      <c r="O47" s="64"/>
      <c r="P47" s="64"/>
      <c r="Q47" s="64"/>
      <c r="R47" s="64"/>
      <c r="S47" s="64"/>
      <c r="T47" s="64"/>
      <c r="U47" s="64"/>
      <c r="V47" s="64"/>
      <c r="W47" s="64"/>
      <c r="X47" s="64"/>
      <c r="Y47" s="64"/>
      <c r="Z47" s="64"/>
      <c r="AA47" s="64"/>
      <c r="AB47" s="64"/>
      <c r="AC47" s="64"/>
      <c r="AD47" s="64"/>
      <c r="AE47" s="64"/>
      <c r="AF47" s="64"/>
      <c r="AG47" s="64"/>
      <c r="AH47" s="64"/>
      <c r="AI47" s="64"/>
      <c r="AJ47" s="64"/>
      <c r="AK47" s="64"/>
      <c r="AL47" s="64"/>
      <c r="AM47" s="64"/>
      <c r="AN47" s="64"/>
    </row>
    <row r="48" spans="1:40" x14ac:dyDescent="0.35">
      <c r="A48" s="64"/>
      <c r="B48" s="64"/>
      <c r="C48" s="64"/>
      <c r="D48" s="64"/>
      <c r="E48" s="64"/>
      <c r="F48" s="64"/>
      <c r="G48" s="64"/>
      <c r="H48" s="64"/>
      <c r="I48" s="64"/>
      <c r="J48" s="64"/>
      <c r="K48" s="64"/>
      <c r="L48" s="64"/>
      <c r="M48" s="64"/>
      <c r="N48" s="64"/>
      <c r="O48" s="64"/>
      <c r="P48" s="64"/>
      <c r="Q48" s="64"/>
      <c r="R48" s="64"/>
      <c r="S48" s="64"/>
      <c r="T48" s="64"/>
      <c r="U48" s="64"/>
      <c r="V48" s="64"/>
      <c r="W48" s="64"/>
      <c r="X48" s="64"/>
      <c r="Y48" s="64"/>
      <c r="Z48" s="64"/>
      <c r="AA48" s="64"/>
      <c r="AB48" s="64"/>
      <c r="AC48" s="64"/>
      <c r="AD48" s="64"/>
      <c r="AE48" s="64"/>
      <c r="AF48" s="64"/>
      <c r="AG48" s="64"/>
      <c r="AH48" s="64"/>
      <c r="AI48" s="64"/>
      <c r="AJ48" s="64"/>
      <c r="AK48" s="64"/>
      <c r="AL48" s="64"/>
      <c r="AM48" s="64"/>
      <c r="AN48" s="64"/>
    </row>
    <row r="49" spans="1:40" x14ac:dyDescent="0.35">
      <c r="A49" s="64"/>
      <c r="B49" s="64"/>
      <c r="C49" s="64"/>
      <c r="D49" s="64"/>
      <c r="E49" s="64"/>
      <c r="F49" s="64"/>
      <c r="G49" s="64"/>
      <c r="H49" s="64"/>
      <c r="I49" s="64"/>
      <c r="J49" s="64"/>
      <c r="K49" s="64"/>
      <c r="L49" s="64"/>
      <c r="M49" s="64"/>
      <c r="N49" s="64"/>
      <c r="O49" s="64"/>
      <c r="P49" s="64"/>
      <c r="Q49" s="64"/>
      <c r="R49" s="64"/>
      <c r="S49" s="64"/>
      <c r="T49" s="64"/>
      <c r="U49" s="64"/>
      <c r="V49" s="64"/>
      <c r="W49" s="64"/>
      <c r="X49" s="64"/>
      <c r="Y49" s="64"/>
      <c r="Z49" s="64"/>
      <c r="AA49" s="64"/>
      <c r="AB49" s="64"/>
      <c r="AC49" s="64"/>
      <c r="AD49" s="64"/>
      <c r="AE49" s="64"/>
      <c r="AF49" s="64"/>
      <c r="AG49" s="64"/>
      <c r="AH49" s="64"/>
      <c r="AI49" s="64"/>
      <c r="AJ49" s="64"/>
      <c r="AK49" s="64"/>
      <c r="AL49" s="64"/>
      <c r="AM49" s="64"/>
      <c r="AN49" s="64"/>
    </row>
    <row r="50" spans="1:40" x14ac:dyDescent="0.35">
      <c r="A50" s="64"/>
      <c r="B50" s="64"/>
      <c r="C50" s="64"/>
      <c r="D50" s="64"/>
      <c r="E50" s="64"/>
      <c r="F50" s="64"/>
      <c r="G50" s="64"/>
      <c r="H50" s="64"/>
      <c r="I50" s="64"/>
      <c r="J50" s="64"/>
      <c r="K50" s="64"/>
      <c r="L50" s="64"/>
      <c r="M50" s="64"/>
      <c r="N50" s="64"/>
      <c r="O50" s="64"/>
      <c r="P50" s="64"/>
      <c r="Q50" s="64"/>
      <c r="R50" s="64"/>
      <c r="S50" s="64"/>
      <c r="T50" s="64"/>
      <c r="U50" s="64"/>
      <c r="V50" s="64"/>
      <c r="W50" s="64"/>
      <c r="X50" s="64"/>
      <c r="Y50" s="64"/>
      <c r="Z50" s="64"/>
      <c r="AA50" s="64"/>
      <c r="AB50" s="64"/>
      <c r="AC50" s="64"/>
      <c r="AD50" s="64"/>
      <c r="AE50" s="64"/>
      <c r="AF50" s="64"/>
      <c r="AG50" s="64"/>
      <c r="AH50" s="64"/>
      <c r="AI50" s="64"/>
      <c r="AJ50" s="64"/>
      <c r="AK50" s="64"/>
      <c r="AL50" s="64"/>
      <c r="AM50" s="64"/>
      <c r="AN50" s="64"/>
    </row>
    <row r="51" spans="1:40" x14ac:dyDescent="0.35">
      <c r="A51" s="64"/>
      <c r="B51" s="64"/>
      <c r="C51" s="64"/>
      <c r="D51" s="64"/>
      <c r="E51" s="64"/>
      <c r="F51" s="64"/>
      <c r="G51" s="64"/>
      <c r="H51" s="64"/>
      <c r="I51" s="64"/>
      <c r="J51" s="64"/>
      <c r="K51" s="64"/>
      <c r="L51" s="64"/>
      <c r="M51" s="64"/>
      <c r="N51" s="64"/>
      <c r="O51" s="64"/>
      <c r="P51" s="64"/>
      <c r="Q51" s="64"/>
      <c r="R51" s="64"/>
      <c r="S51" s="64"/>
      <c r="T51" s="64"/>
      <c r="U51" s="64"/>
      <c r="V51" s="64"/>
      <c r="W51" s="64"/>
      <c r="X51" s="64"/>
      <c r="Y51" s="64"/>
      <c r="Z51" s="64"/>
      <c r="AA51" s="64"/>
      <c r="AB51" s="64"/>
      <c r="AC51" s="64"/>
      <c r="AD51" s="64"/>
      <c r="AE51" s="64"/>
      <c r="AF51" s="64"/>
      <c r="AG51" s="64"/>
      <c r="AH51" s="64"/>
      <c r="AI51" s="64"/>
      <c r="AJ51" s="64"/>
      <c r="AK51" s="64"/>
      <c r="AL51" s="64"/>
      <c r="AM51" s="64"/>
      <c r="AN51" s="64"/>
    </row>
    <row r="52" spans="1:40" x14ac:dyDescent="0.35">
      <c r="A52" s="64"/>
      <c r="B52" s="64"/>
      <c r="C52" s="64"/>
      <c r="D52" s="64"/>
      <c r="E52" s="64"/>
      <c r="F52" s="64"/>
      <c r="G52" s="64"/>
      <c r="H52" s="64"/>
      <c r="I52" s="64"/>
      <c r="J52" s="64"/>
      <c r="K52" s="64"/>
      <c r="L52" s="64"/>
      <c r="M52" s="64"/>
      <c r="N52" s="64"/>
      <c r="O52" s="64"/>
      <c r="P52" s="64"/>
      <c r="Q52" s="64"/>
      <c r="R52" s="64"/>
      <c r="S52" s="64"/>
      <c r="T52" s="64"/>
      <c r="U52" s="64"/>
      <c r="V52" s="64"/>
      <c r="W52" s="64"/>
      <c r="X52" s="64"/>
      <c r="Y52" s="64"/>
      <c r="Z52" s="64"/>
      <c r="AA52" s="64"/>
      <c r="AB52" s="64"/>
      <c r="AC52" s="64"/>
      <c r="AD52" s="64"/>
      <c r="AE52" s="64"/>
      <c r="AF52" s="64"/>
      <c r="AG52" s="64"/>
      <c r="AH52" s="64"/>
      <c r="AI52" s="64"/>
      <c r="AJ52" s="64"/>
      <c r="AK52" s="64"/>
      <c r="AL52" s="64"/>
      <c r="AM52" s="64"/>
      <c r="AN52" s="64"/>
    </row>
    <row r="53" spans="1:40" x14ac:dyDescent="0.35">
      <c r="A53" s="64"/>
      <c r="B53" s="64"/>
      <c r="C53" s="64"/>
      <c r="D53" s="64"/>
      <c r="E53" s="64"/>
      <c r="F53" s="64"/>
      <c r="G53" s="64"/>
      <c r="H53" s="64"/>
      <c r="I53" s="64"/>
      <c r="J53" s="64"/>
      <c r="K53" s="64"/>
      <c r="L53" s="64"/>
      <c r="M53" s="64"/>
      <c r="N53" s="64"/>
      <c r="O53" s="64"/>
      <c r="P53" s="64"/>
      <c r="Q53" s="64"/>
      <c r="R53" s="64"/>
      <c r="S53" s="64"/>
      <c r="T53" s="64"/>
      <c r="U53" s="64"/>
      <c r="V53" s="64"/>
      <c r="W53" s="64"/>
      <c r="X53" s="64"/>
      <c r="Y53" s="64"/>
      <c r="Z53" s="64"/>
      <c r="AA53" s="64"/>
      <c r="AB53" s="64"/>
      <c r="AC53" s="64"/>
      <c r="AD53" s="64"/>
      <c r="AE53" s="64"/>
      <c r="AF53" s="64"/>
      <c r="AG53" s="64"/>
      <c r="AH53" s="64"/>
      <c r="AI53" s="64"/>
      <c r="AJ53" s="64"/>
      <c r="AK53" s="64"/>
      <c r="AL53" s="64"/>
      <c r="AM53" s="64"/>
      <c r="AN53" s="64"/>
    </row>
    <row r="54" spans="1:40" x14ac:dyDescent="0.35">
      <c r="A54" s="64"/>
      <c r="B54" s="64"/>
      <c r="C54" s="64"/>
      <c r="D54" s="64"/>
      <c r="E54" s="64"/>
      <c r="F54" s="64"/>
      <c r="G54" s="64"/>
      <c r="H54" s="64"/>
      <c r="I54" s="64"/>
      <c r="J54" s="64"/>
      <c r="K54" s="64"/>
      <c r="L54" s="64"/>
      <c r="M54" s="64"/>
      <c r="N54" s="64"/>
      <c r="O54" s="64"/>
      <c r="P54" s="64"/>
      <c r="Q54" s="64"/>
      <c r="R54" s="64"/>
      <c r="S54" s="64"/>
      <c r="T54" s="64"/>
      <c r="U54" s="64"/>
      <c r="V54" s="64"/>
      <c r="W54" s="64"/>
      <c r="X54" s="64"/>
      <c r="Y54" s="64"/>
      <c r="Z54" s="64"/>
      <c r="AA54" s="64"/>
      <c r="AB54" s="64"/>
      <c r="AC54" s="64"/>
      <c r="AD54" s="64"/>
      <c r="AE54" s="64"/>
      <c r="AF54" s="64"/>
      <c r="AG54" s="64"/>
      <c r="AH54" s="64"/>
      <c r="AI54" s="64"/>
      <c r="AJ54" s="64"/>
      <c r="AK54" s="64"/>
      <c r="AL54" s="64"/>
      <c r="AM54" s="64"/>
      <c r="AN54" s="64"/>
    </row>
    <row r="55" spans="1:40" x14ac:dyDescent="0.35">
      <c r="A55" s="64"/>
      <c r="B55" s="64"/>
      <c r="C55" s="64"/>
      <c r="D55" s="64"/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64"/>
      <c r="P55" s="64"/>
      <c r="Q55" s="64"/>
      <c r="R55" s="64"/>
      <c r="S55" s="64"/>
      <c r="T55" s="64"/>
      <c r="U55" s="64"/>
      <c r="V55" s="64"/>
      <c r="W55" s="64"/>
      <c r="X55" s="64"/>
      <c r="Y55" s="64"/>
      <c r="Z55" s="64"/>
      <c r="AA55" s="64"/>
      <c r="AB55" s="64"/>
      <c r="AC55" s="64"/>
      <c r="AD55" s="64"/>
      <c r="AE55" s="64"/>
      <c r="AF55" s="64"/>
      <c r="AG55" s="64"/>
      <c r="AH55" s="64"/>
      <c r="AI55" s="64"/>
      <c r="AJ55" s="64"/>
      <c r="AK55" s="64"/>
      <c r="AL55" s="64"/>
      <c r="AM55" s="64"/>
      <c r="AN55" s="64"/>
    </row>
    <row r="56" spans="1:40" x14ac:dyDescent="0.35">
      <c r="A56" s="64"/>
      <c r="B56" s="64"/>
      <c r="C56" s="64"/>
      <c r="D56" s="64"/>
      <c r="E56" s="64"/>
      <c r="F56" s="64"/>
      <c r="G56" s="64"/>
      <c r="H56" s="64"/>
      <c r="I56" s="64"/>
      <c r="J56" s="64"/>
      <c r="K56" s="64"/>
      <c r="L56" s="64"/>
      <c r="M56" s="64"/>
      <c r="N56" s="64"/>
      <c r="O56" s="64"/>
      <c r="P56" s="64"/>
      <c r="Q56" s="64"/>
      <c r="R56" s="64"/>
      <c r="S56" s="64"/>
      <c r="T56" s="64"/>
      <c r="U56" s="64"/>
      <c r="V56" s="64"/>
      <c r="W56" s="64"/>
      <c r="X56" s="64"/>
      <c r="Y56" s="64"/>
      <c r="Z56" s="64"/>
      <c r="AA56" s="64"/>
      <c r="AB56" s="64"/>
      <c r="AC56" s="64"/>
      <c r="AD56" s="64"/>
      <c r="AE56" s="64"/>
      <c r="AF56" s="64"/>
      <c r="AG56" s="64"/>
      <c r="AH56" s="64"/>
      <c r="AI56" s="64"/>
      <c r="AJ56" s="64"/>
      <c r="AK56" s="64"/>
      <c r="AL56" s="64"/>
      <c r="AM56" s="64"/>
      <c r="AN56" s="64"/>
    </row>
    <row r="57" spans="1:40" x14ac:dyDescent="0.35">
      <c r="A57" s="64"/>
      <c r="B57" s="64"/>
      <c r="C57" s="64"/>
      <c r="D57" s="64"/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64"/>
      <c r="V57" s="64"/>
      <c r="W57" s="64"/>
      <c r="X57" s="64"/>
      <c r="Y57" s="64"/>
      <c r="Z57" s="64"/>
      <c r="AA57" s="64"/>
      <c r="AB57" s="64"/>
      <c r="AC57" s="64"/>
      <c r="AD57" s="64"/>
      <c r="AE57" s="64"/>
      <c r="AF57" s="64"/>
      <c r="AG57" s="64"/>
      <c r="AH57" s="64"/>
      <c r="AI57" s="64"/>
      <c r="AJ57" s="64"/>
      <c r="AK57" s="64"/>
      <c r="AL57" s="64"/>
      <c r="AM57" s="64"/>
      <c r="AN57" s="64"/>
    </row>
    <row r="58" spans="1:40" x14ac:dyDescent="0.35">
      <c r="A58" s="64"/>
      <c r="B58" s="64"/>
      <c r="C58" s="64"/>
      <c r="D58" s="64"/>
      <c r="E58" s="64"/>
      <c r="F58" s="64"/>
      <c r="G58" s="64"/>
      <c r="H58" s="64"/>
      <c r="I58" s="64"/>
      <c r="J58" s="64"/>
      <c r="K58" s="64"/>
      <c r="L58" s="64"/>
      <c r="M58" s="64"/>
      <c r="N58" s="64"/>
      <c r="O58" s="64"/>
      <c r="P58" s="64"/>
      <c r="Q58" s="64"/>
      <c r="R58" s="64"/>
      <c r="S58" s="64"/>
      <c r="T58" s="64"/>
      <c r="U58" s="64"/>
      <c r="V58" s="64"/>
      <c r="W58" s="64"/>
      <c r="X58" s="64"/>
      <c r="Y58" s="64"/>
      <c r="Z58" s="64"/>
      <c r="AA58" s="64"/>
      <c r="AB58" s="64"/>
      <c r="AC58" s="64"/>
      <c r="AD58" s="64"/>
      <c r="AE58" s="64"/>
      <c r="AF58" s="64"/>
      <c r="AG58" s="64"/>
      <c r="AH58" s="64"/>
      <c r="AI58" s="64"/>
      <c r="AJ58" s="64"/>
      <c r="AK58" s="64"/>
      <c r="AL58" s="64"/>
      <c r="AM58" s="64"/>
      <c r="AN58" s="64"/>
    </row>
    <row r="59" spans="1:40" x14ac:dyDescent="0.35">
      <c r="A59" s="64"/>
      <c r="B59" s="64"/>
      <c r="C59" s="64"/>
      <c r="D59" s="64"/>
      <c r="E59" s="64"/>
      <c r="F59" s="64"/>
      <c r="G59" s="64"/>
      <c r="H59" s="64"/>
      <c r="I59" s="64"/>
      <c r="J59" s="64"/>
      <c r="K59" s="64"/>
      <c r="L59" s="64"/>
      <c r="M59" s="64"/>
      <c r="N59" s="64"/>
      <c r="O59" s="64"/>
      <c r="P59" s="64"/>
      <c r="Q59" s="64"/>
      <c r="R59" s="64"/>
      <c r="S59" s="64"/>
      <c r="T59" s="64"/>
      <c r="U59" s="64"/>
      <c r="V59" s="64"/>
      <c r="W59" s="64"/>
      <c r="X59" s="64"/>
      <c r="Y59" s="64"/>
      <c r="Z59" s="64"/>
      <c r="AA59" s="64"/>
      <c r="AB59" s="64"/>
      <c r="AC59" s="64"/>
      <c r="AD59" s="64"/>
      <c r="AE59" s="64"/>
      <c r="AF59" s="64"/>
      <c r="AG59" s="64"/>
      <c r="AH59" s="64"/>
      <c r="AI59" s="64"/>
      <c r="AJ59" s="64"/>
      <c r="AK59" s="64"/>
      <c r="AL59" s="64"/>
      <c r="AM59" s="64"/>
      <c r="AN59" s="64"/>
    </row>
    <row r="60" spans="1:40" x14ac:dyDescent="0.35">
      <c r="A60" s="64"/>
      <c r="B60" s="64"/>
      <c r="C60" s="64"/>
      <c r="D60" s="64"/>
      <c r="E60" s="64"/>
      <c r="F60" s="64"/>
      <c r="G60" s="64"/>
      <c r="H60" s="64"/>
      <c r="I60" s="64"/>
      <c r="J60" s="64"/>
      <c r="K60" s="64"/>
      <c r="L60" s="64"/>
      <c r="M60" s="64"/>
      <c r="N60" s="64"/>
      <c r="O60" s="64"/>
      <c r="P60" s="64"/>
      <c r="Q60" s="64"/>
      <c r="R60" s="64"/>
      <c r="S60" s="64"/>
      <c r="T60" s="64"/>
      <c r="U60" s="64"/>
      <c r="V60" s="64"/>
      <c r="W60" s="64"/>
      <c r="X60" s="64"/>
      <c r="Y60" s="64"/>
      <c r="Z60" s="64"/>
      <c r="AA60" s="64"/>
      <c r="AB60" s="64"/>
      <c r="AC60" s="64"/>
      <c r="AD60" s="64"/>
      <c r="AE60" s="64"/>
      <c r="AF60" s="64"/>
      <c r="AG60" s="64"/>
      <c r="AH60" s="64"/>
      <c r="AI60" s="64"/>
      <c r="AJ60" s="64"/>
      <c r="AK60" s="64"/>
      <c r="AL60" s="64"/>
      <c r="AM60" s="64"/>
      <c r="AN60" s="64"/>
    </row>
    <row r="61" spans="1:40" x14ac:dyDescent="0.35">
      <c r="A61" s="64"/>
      <c r="B61" s="64"/>
      <c r="C61" s="64"/>
      <c r="D61" s="64"/>
      <c r="E61" s="64"/>
      <c r="F61" s="64"/>
      <c r="G61" s="64"/>
      <c r="H61" s="64"/>
      <c r="I61" s="64"/>
      <c r="J61" s="64"/>
      <c r="K61" s="64"/>
      <c r="L61" s="64"/>
      <c r="M61" s="64"/>
      <c r="N61" s="64"/>
      <c r="O61" s="64"/>
      <c r="P61" s="64"/>
      <c r="Q61" s="64"/>
      <c r="R61" s="64"/>
      <c r="S61" s="64"/>
      <c r="T61" s="64"/>
      <c r="U61" s="64"/>
      <c r="V61" s="64"/>
      <c r="W61" s="64"/>
      <c r="X61" s="64"/>
      <c r="Y61" s="64"/>
      <c r="Z61" s="64"/>
      <c r="AA61" s="64"/>
      <c r="AB61" s="64"/>
      <c r="AC61" s="64"/>
      <c r="AD61" s="64"/>
      <c r="AE61" s="64"/>
      <c r="AF61" s="64"/>
      <c r="AG61" s="64"/>
      <c r="AH61" s="64"/>
      <c r="AI61" s="64"/>
      <c r="AJ61" s="64"/>
      <c r="AK61" s="64"/>
      <c r="AL61" s="64"/>
      <c r="AM61" s="64"/>
      <c r="AN61" s="64"/>
    </row>
    <row r="62" spans="1:40" x14ac:dyDescent="0.35">
      <c r="A62" s="64"/>
      <c r="B62" s="64"/>
      <c r="C62" s="64"/>
      <c r="D62" s="64"/>
      <c r="E62" s="64"/>
      <c r="F62" s="64"/>
      <c r="G62" s="64"/>
      <c r="H62" s="64"/>
      <c r="I62" s="64"/>
      <c r="J62" s="64"/>
      <c r="K62" s="64"/>
      <c r="L62" s="64"/>
      <c r="M62" s="64"/>
      <c r="N62" s="64"/>
      <c r="O62" s="64"/>
      <c r="P62" s="64"/>
      <c r="Q62" s="64"/>
      <c r="R62" s="64"/>
      <c r="S62" s="64"/>
      <c r="T62" s="64"/>
      <c r="U62" s="64"/>
      <c r="V62" s="64"/>
      <c r="W62" s="64"/>
      <c r="X62" s="64"/>
      <c r="Y62" s="64"/>
      <c r="Z62" s="64"/>
      <c r="AA62" s="64"/>
      <c r="AB62" s="64"/>
      <c r="AC62" s="64"/>
      <c r="AD62" s="64"/>
      <c r="AE62" s="64"/>
      <c r="AF62" s="64"/>
      <c r="AG62" s="64"/>
      <c r="AH62" s="64"/>
      <c r="AI62" s="64"/>
      <c r="AJ62" s="64"/>
      <c r="AK62" s="64"/>
      <c r="AL62" s="64"/>
      <c r="AM62" s="64"/>
      <c r="AN62" s="64"/>
    </row>
    <row r="63" spans="1:40" x14ac:dyDescent="0.35">
      <c r="A63" s="64"/>
      <c r="B63" s="64"/>
      <c r="C63" s="64"/>
      <c r="D63" s="64"/>
      <c r="E63" s="64"/>
      <c r="F63" s="64"/>
      <c r="G63" s="64"/>
      <c r="H63" s="64"/>
      <c r="I63" s="64"/>
      <c r="J63" s="64"/>
      <c r="K63" s="64"/>
      <c r="L63" s="64"/>
      <c r="M63" s="64"/>
      <c r="N63" s="64"/>
      <c r="O63" s="64"/>
      <c r="P63" s="64"/>
      <c r="Q63" s="64"/>
      <c r="R63" s="64"/>
      <c r="S63" s="64"/>
      <c r="T63" s="64"/>
      <c r="U63" s="64"/>
      <c r="V63" s="64"/>
      <c r="W63" s="64"/>
      <c r="X63" s="64"/>
      <c r="Y63" s="64"/>
      <c r="Z63" s="64"/>
      <c r="AA63" s="64"/>
      <c r="AB63" s="64"/>
      <c r="AC63" s="64"/>
      <c r="AD63" s="64"/>
      <c r="AE63" s="64"/>
      <c r="AF63" s="64"/>
      <c r="AG63" s="64"/>
      <c r="AH63" s="64"/>
      <c r="AI63" s="64"/>
      <c r="AJ63" s="64"/>
      <c r="AK63" s="64"/>
      <c r="AL63" s="64"/>
      <c r="AM63" s="64"/>
      <c r="AN63" s="64"/>
    </row>
    <row r="64" spans="1:40" x14ac:dyDescent="0.35">
      <c r="A64" s="64"/>
      <c r="B64" s="64"/>
      <c r="C64" s="64"/>
      <c r="D64" s="64"/>
      <c r="E64" s="64"/>
      <c r="F64" s="64"/>
      <c r="G64" s="64"/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64"/>
      <c r="V64" s="64"/>
      <c r="W64" s="64"/>
      <c r="X64" s="64"/>
      <c r="Y64" s="64"/>
      <c r="Z64" s="64"/>
      <c r="AA64" s="64"/>
      <c r="AB64" s="64"/>
      <c r="AC64" s="64"/>
      <c r="AD64" s="64"/>
      <c r="AE64" s="64"/>
      <c r="AF64" s="64"/>
      <c r="AG64" s="64"/>
      <c r="AH64" s="64"/>
      <c r="AI64" s="64"/>
      <c r="AJ64" s="64"/>
      <c r="AK64" s="64"/>
      <c r="AL64" s="64"/>
      <c r="AM64" s="64"/>
      <c r="AN64" s="64"/>
    </row>
    <row r="65" spans="1:40" x14ac:dyDescent="0.35">
      <c r="A65" s="64"/>
      <c r="B65" s="64"/>
      <c r="C65" s="64"/>
      <c r="D65" s="64"/>
      <c r="E65" s="64"/>
      <c r="F65" s="64"/>
      <c r="G65" s="64"/>
      <c r="H65" s="64"/>
      <c r="I65" s="64"/>
      <c r="J65" s="64"/>
      <c r="K65" s="64"/>
      <c r="L65" s="64"/>
      <c r="M65" s="64"/>
      <c r="N65" s="64"/>
      <c r="O65" s="64"/>
      <c r="P65" s="64"/>
      <c r="Q65" s="64"/>
      <c r="R65" s="64"/>
      <c r="S65" s="64"/>
      <c r="T65" s="64"/>
      <c r="U65" s="64"/>
      <c r="V65" s="64"/>
      <c r="W65" s="64"/>
      <c r="X65" s="64"/>
      <c r="Y65" s="64"/>
      <c r="Z65" s="64"/>
      <c r="AA65" s="64"/>
      <c r="AB65" s="64"/>
      <c r="AC65" s="64"/>
      <c r="AD65" s="64"/>
      <c r="AE65" s="64"/>
      <c r="AF65" s="64"/>
      <c r="AG65" s="64"/>
      <c r="AH65" s="64"/>
      <c r="AI65" s="64"/>
      <c r="AJ65" s="64"/>
      <c r="AK65" s="64"/>
      <c r="AL65" s="64"/>
      <c r="AM65" s="64"/>
      <c r="AN65" s="64"/>
    </row>
    <row r="66" spans="1:40" x14ac:dyDescent="0.35">
      <c r="A66" s="64"/>
      <c r="B66" s="64"/>
      <c r="C66" s="64"/>
      <c r="D66" s="64"/>
      <c r="E66" s="64"/>
      <c r="F66" s="64"/>
      <c r="G66" s="64"/>
      <c r="H66" s="64"/>
      <c r="I66" s="64"/>
      <c r="J66" s="64"/>
      <c r="K66" s="64"/>
      <c r="L66" s="64"/>
      <c r="M66" s="64"/>
      <c r="N66" s="64"/>
      <c r="O66" s="64"/>
      <c r="P66" s="64"/>
      <c r="Q66" s="64"/>
      <c r="R66" s="64"/>
      <c r="S66" s="64"/>
      <c r="T66" s="64"/>
      <c r="U66" s="64"/>
      <c r="V66" s="64"/>
      <c r="W66" s="64"/>
      <c r="X66" s="64"/>
      <c r="Y66" s="64"/>
      <c r="Z66" s="64"/>
      <c r="AA66" s="64"/>
      <c r="AB66" s="64"/>
      <c r="AC66" s="64"/>
      <c r="AD66" s="64"/>
      <c r="AE66" s="64"/>
      <c r="AF66" s="64"/>
      <c r="AG66" s="64"/>
      <c r="AH66" s="64"/>
      <c r="AI66" s="64"/>
      <c r="AJ66" s="64"/>
      <c r="AK66" s="64"/>
      <c r="AL66" s="64"/>
      <c r="AM66" s="64"/>
      <c r="AN66" s="64"/>
    </row>
    <row r="67" spans="1:40" x14ac:dyDescent="0.35">
      <c r="A67" s="64"/>
      <c r="B67" s="64"/>
      <c r="C67" s="64"/>
      <c r="D67" s="64"/>
      <c r="E67" s="64"/>
      <c r="F67" s="64"/>
      <c r="G67" s="64"/>
      <c r="H67" s="64"/>
      <c r="I67" s="64"/>
      <c r="J67" s="64"/>
      <c r="K67" s="64"/>
      <c r="L67" s="64"/>
      <c r="M67" s="64"/>
      <c r="N67" s="64"/>
      <c r="O67" s="64"/>
      <c r="P67" s="64"/>
      <c r="Q67" s="64"/>
      <c r="R67" s="64"/>
      <c r="S67" s="64"/>
      <c r="T67" s="64"/>
      <c r="U67" s="64"/>
      <c r="V67" s="64"/>
      <c r="W67" s="64"/>
      <c r="X67" s="64"/>
      <c r="Y67" s="64"/>
      <c r="Z67" s="64"/>
      <c r="AA67" s="64"/>
      <c r="AB67" s="64"/>
      <c r="AC67" s="64"/>
      <c r="AD67" s="64"/>
      <c r="AE67" s="64"/>
      <c r="AF67" s="64"/>
      <c r="AG67" s="64"/>
      <c r="AH67" s="64"/>
      <c r="AI67" s="64"/>
      <c r="AJ67" s="64"/>
      <c r="AK67" s="64"/>
      <c r="AL67" s="64"/>
      <c r="AM67" s="64"/>
      <c r="AN67" s="64"/>
    </row>
    <row r="68" spans="1:40" x14ac:dyDescent="0.35">
      <c r="A68" s="64"/>
      <c r="B68" s="64"/>
      <c r="C68" s="64"/>
      <c r="D68" s="64"/>
      <c r="E68" s="64"/>
      <c r="F68" s="64"/>
      <c r="G68" s="64"/>
      <c r="H68" s="64"/>
      <c r="I68" s="64"/>
      <c r="J68" s="64"/>
      <c r="K68" s="64"/>
      <c r="L68" s="64"/>
      <c r="M68" s="64"/>
      <c r="N68" s="64"/>
      <c r="O68" s="64"/>
      <c r="P68" s="64"/>
      <c r="Q68" s="64"/>
      <c r="R68" s="64"/>
      <c r="S68" s="64"/>
      <c r="T68" s="64"/>
      <c r="U68" s="64"/>
      <c r="V68" s="64"/>
      <c r="W68" s="64"/>
      <c r="X68" s="64"/>
      <c r="Y68" s="64"/>
      <c r="Z68" s="64"/>
      <c r="AA68" s="64"/>
      <c r="AB68" s="64"/>
      <c r="AC68" s="64"/>
      <c r="AD68" s="64"/>
      <c r="AE68" s="64"/>
      <c r="AF68" s="64"/>
      <c r="AG68" s="64"/>
      <c r="AH68" s="64"/>
      <c r="AI68" s="64"/>
      <c r="AJ68" s="64"/>
      <c r="AK68" s="64"/>
      <c r="AL68" s="64"/>
      <c r="AM68" s="64"/>
      <c r="AN68" s="64"/>
    </row>
    <row r="69" spans="1:40" x14ac:dyDescent="0.35">
      <c r="A69" s="64"/>
      <c r="B69" s="64"/>
      <c r="C69" s="64"/>
      <c r="D69" s="64"/>
      <c r="E69" s="64"/>
      <c r="F69" s="64"/>
      <c r="G69" s="64"/>
      <c r="H69" s="64"/>
      <c r="I69" s="64"/>
      <c r="J69" s="64"/>
      <c r="K69" s="64"/>
      <c r="L69" s="64"/>
      <c r="M69" s="64"/>
      <c r="N69" s="64"/>
      <c r="O69" s="64"/>
      <c r="P69" s="64"/>
      <c r="Q69" s="64"/>
      <c r="R69" s="64"/>
      <c r="S69" s="64"/>
      <c r="T69" s="64"/>
      <c r="U69" s="64"/>
      <c r="V69" s="64"/>
      <c r="W69" s="64"/>
      <c r="X69" s="64"/>
      <c r="Y69" s="64"/>
      <c r="Z69" s="64"/>
      <c r="AA69" s="64"/>
      <c r="AB69" s="64"/>
      <c r="AC69" s="64"/>
      <c r="AD69" s="64"/>
      <c r="AE69" s="64"/>
      <c r="AF69" s="64"/>
      <c r="AG69" s="64"/>
      <c r="AH69" s="64"/>
      <c r="AI69" s="64"/>
      <c r="AJ69" s="64"/>
      <c r="AK69" s="64"/>
      <c r="AL69" s="64"/>
      <c r="AM69" s="64"/>
      <c r="AN69" s="64"/>
    </row>
    <row r="70" spans="1:40" x14ac:dyDescent="0.35">
      <c r="A70" s="64"/>
      <c r="B70" s="64"/>
      <c r="C70" s="64"/>
      <c r="D70" s="64"/>
      <c r="E70" s="64"/>
      <c r="F70" s="64"/>
      <c r="G70" s="64"/>
      <c r="H70" s="64"/>
      <c r="I70" s="64"/>
      <c r="J70" s="64"/>
      <c r="K70" s="64"/>
      <c r="L70" s="64"/>
      <c r="M70" s="64"/>
      <c r="N70" s="64"/>
      <c r="O70" s="64"/>
      <c r="P70" s="64"/>
      <c r="Q70" s="64"/>
      <c r="R70" s="64"/>
      <c r="S70" s="64"/>
      <c r="T70" s="64"/>
      <c r="U70" s="64"/>
      <c r="V70" s="64"/>
      <c r="W70" s="64"/>
      <c r="X70" s="64"/>
      <c r="Y70" s="64"/>
      <c r="Z70" s="64"/>
      <c r="AA70" s="64"/>
      <c r="AB70" s="64"/>
      <c r="AC70" s="64"/>
      <c r="AD70" s="64"/>
      <c r="AE70" s="64"/>
      <c r="AF70" s="64"/>
      <c r="AG70" s="64"/>
      <c r="AH70" s="64"/>
      <c r="AI70" s="64"/>
      <c r="AJ70" s="64"/>
      <c r="AK70" s="64"/>
      <c r="AL70" s="64"/>
      <c r="AM70" s="64"/>
      <c r="AN70" s="64"/>
    </row>
    <row r="71" spans="1:40" x14ac:dyDescent="0.35">
      <c r="A71" s="64"/>
      <c r="B71" s="64"/>
      <c r="C71" s="64"/>
      <c r="D71" s="64"/>
      <c r="E71" s="64"/>
      <c r="F71" s="64"/>
      <c r="G71" s="64"/>
      <c r="H71" s="64"/>
      <c r="I71" s="64"/>
      <c r="J71" s="64"/>
      <c r="K71" s="64"/>
      <c r="L71" s="64"/>
      <c r="M71" s="64"/>
      <c r="N71" s="64"/>
      <c r="O71" s="64"/>
      <c r="P71" s="64"/>
      <c r="Q71" s="64"/>
      <c r="R71" s="64"/>
      <c r="S71" s="64"/>
      <c r="T71" s="64"/>
      <c r="U71" s="64"/>
      <c r="V71" s="64"/>
      <c r="W71" s="64"/>
      <c r="X71" s="64"/>
      <c r="Y71" s="64"/>
      <c r="Z71" s="64"/>
      <c r="AA71" s="64"/>
      <c r="AB71" s="64"/>
      <c r="AC71" s="64"/>
      <c r="AD71" s="64"/>
      <c r="AE71" s="64"/>
      <c r="AF71" s="64"/>
      <c r="AG71" s="64"/>
      <c r="AH71" s="64"/>
      <c r="AI71" s="64"/>
      <c r="AJ71" s="64"/>
      <c r="AK71" s="64"/>
      <c r="AL71" s="64"/>
      <c r="AM71" s="64"/>
      <c r="AN71" s="64"/>
    </row>
    <row r="72" spans="1:40" x14ac:dyDescent="0.35">
      <c r="A72" s="64"/>
      <c r="B72" s="64"/>
      <c r="C72" s="64"/>
      <c r="D72" s="64"/>
      <c r="E72" s="64"/>
      <c r="F72" s="64"/>
      <c r="G72" s="64"/>
      <c r="H72" s="64"/>
      <c r="I72" s="64"/>
      <c r="J72" s="64"/>
      <c r="K72" s="64"/>
      <c r="L72" s="64"/>
      <c r="M72" s="64"/>
      <c r="N72" s="64"/>
      <c r="O72" s="64"/>
      <c r="P72" s="64"/>
      <c r="Q72" s="64"/>
      <c r="R72" s="64"/>
      <c r="S72" s="64"/>
      <c r="T72" s="64"/>
      <c r="U72" s="64"/>
      <c r="V72" s="64"/>
      <c r="W72" s="64"/>
      <c r="X72" s="64"/>
      <c r="Y72" s="64"/>
      <c r="Z72" s="64"/>
      <c r="AA72" s="64"/>
      <c r="AB72" s="64"/>
      <c r="AC72" s="64"/>
      <c r="AD72" s="64"/>
      <c r="AE72" s="64"/>
      <c r="AF72" s="64"/>
      <c r="AG72" s="64"/>
      <c r="AH72" s="64"/>
      <c r="AI72" s="64"/>
      <c r="AJ72" s="64"/>
      <c r="AK72" s="64"/>
      <c r="AL72" s="64"/>
      <c r="AM72" s="64"/>
      <c r="AN72" s="64"/>
    </row>
    <row r="73" spans="1:40" x14ac:dyDescent="0.35">
      <c r="A73" s="64"/>
      <c r="B73" s="64"/>
      <c r="C73" s="64"/>
      <c r="D73" s="64"/>
      <c r="E73" s="64"/>
      <c r="F73" s="64"/>
      <c r="G73" s="64"/>
      <c r="H73" s="64"/>
      <c r="I73" s="64"/>
      <c r="J73" s="64"/>
      <c r="K73" s="64"/>
      <c r="L73" s="64"/>
      <c r="M73" s="64"/>
      <c r="N73" s="64"/>
      <c r="O73" s="64"/>
      <c r="P73" s="64"/>
      <c r="Q73" s="64"/>
      <c r="R73" s="64"/>
      <c r="S73" s="64"/>
      <c r="T73" s="64"/>
      <c r="U73" s="64"/>
      <c r="V73" s="64"/>
      <c r="W73" s="64"/>
      <c r="X73" s="64"/>
      <c r="Y73" s="64"/>
      <c r="Z73" s="64"/>
      <c r="AA73" s="64"/>
      <c r="AB73" s="64"/>
      <c r="AC73" s="64"/>
      <c r="AD73" s="64"/>
      <c r="AE73" s="64"/>
      <c r="AF73" s="64"/>
      <c r="AG73" s="64"/>
      <c r="AH73" s="64"/>
      <c r="AI73" s="64"/>
      <c r="AJ73" s="64"/>
      <c r="AK73" s="64"/>
      <c r="AL73" s="64"/>
      <c r="AM73" s="64"/>
      <c r="AN73" s="64"/>
    </row>
    <row r="74" spans="1:40" x14ac:dyDescent="0.35">
      <c r="A74" s="64"/>
      <c r="B74" s="64"/>
      <c r="C74" s="64"/>
      <c r="D74" s="64"/>
      <c r="E74" s="64"/>
      <c r="F74" s="64"/>
      <c r="G74" s="64"/>
      <c r="H74" s="64"/>
      <c r="I74" s="64"/>
      <c r="J74" s="64"/>
      <c r="K74" s="64"/>
      <c r="L74" s="64"/>
      <c r="M74" s="64"/>
      <c r="N74" s="64"/>
      <c r="O74" s="64"/>
      <c r="P74" s="64"/>
      <c r="Q74" s="64"/>
      <c r="R74" s="64"/>
      <c r="S74" s="64"/>
      <c r="T74" s="64"/>
      <c r="U74" s="64"/>
      <c r="V74" s="64"/>
      <c r="W74" s="64"/>
      <c r="X74" s="64"/>
      <c r="Y74" s="64"/>
      <c r="Z74" s="64"/>
      <c r="AA74" s="64"/>
      <c r="AB74" s="64"/>
      <c r="AC74" s="64"/>
      <c r="AD74" s="64"/>
      <c r="AE74" s="64"/>
      <c r="AF74" s="64"/>
      <c r="AG74" s="64"/>
      <c r="AH74" s="64"/>
      <c r="AI74" s="64"/>
      <c r="AJ74" s="64"/>
      <c r="AK74" s="64"/>
      <c r="AL74" s="64"/>
      <c r="AM74" s="64"/>
      <c r="AN74" s="64"/>
    </row>
    <row r="75" spans="1:40" x14ac:dyDescent="0.35">
      <c r="A75" s="64"/>
      <c r="B75" s="64"/>
      <c r="C75" s="64"/>
      <c r="D75" s="64"/>
      <c r="E75" s="64"/>
      <c r="F75" s="64"/>
      <c r="G75" s="64"/>
      <c r="H75" s="64"/>
      <c r="I75" s="64"/>
      <c r="J75" s="64"/>
      <c r="K75" s="64"/>
      <c r="L75" s="64"/>
      <c r="M75" s="64"/>
      <c r="N75" s="64"/>
      <c r="O75" s="64"/>
      <c r="P75" s="64"/>
      <c r="Q75" s="64"/>
      <c r="R75" s="64"/>
      <c r="S75" s="64"/>
      <c r="T75" s="64"/>
      <c r="U75" s="64"/>
      <c r="V75" s="64"/>
      <c r="W75" s="64"/>
      <c r="X75" s="64"/>
      <c r="Y75" s="64"/>
      <c r="Z75" s="64"/>
      <c r="AA75" s="64"/>
      <c r="AB75" s="64"/>
      <c r="AC75" s="64"/>
      <c r="AD75" s="64"/>
      <c r="AE75" s="64"/>
      <c r="AF75" s="64"/>
      <c r="AG75" s="64"/>
      <c r="AH75" s="64"/>
      <c r="AI75" s="64"/>
      <c r="AJ75" s="64"/>
      <c r="AK75" s="64"/>
      <c r="AL75" s="64"/>
      <c r="AM75" s="64"/>
      <c r="AN75" s="64"/>
    </row>
    <row r="76" spans="1:40" x14ac:dyDescent="0.35">
      <c r="A76" s="64"/>
      <c r="B76" s="64"/>
      <c r="C76" s="64"/>
      <c r="D76" s="64"/>
      <c r="E76" s="64"/>
      <c r="F76" s="64"/>
      <c r="G76" s="64"/>
      <c r="H76" s="64"/>
      <c r="I76" s="64"/>
      <c r="J76" s="64"/>
      <c r="K76" s="64"/>
      <c r="L76" s="64"/>
      <c r="M76" s="64"/>
      <c r="N76" s="64"/>
      <c r="O76" s="64"/>
      <c r="P76" s="64"/>
      <c r="Q76" s="64"/>
      <c r="R76" s="64"/>
      <c r="S76" s="64"/>
      <c r="T76" s="64"/>
      <c r="U76" s="64"/>
      <c r="V76" s="64"/>
      <c r="W76" s="64"/>
      <c r="X76" s="64"/>
      <c r="Y76" s="64"/>
      <c r="Z76" s="64"/>
      <c r="AA76" s="64"/>
      <c r="AB76" s="64"/>
      <c r="AC76" s="64"/>
      <c r="AD76" s="64"/>
      <c r="AE76" s="64"/>
      <c r="AF76" s="64"/>
      <c r="AG76" s="64"/>
      <c r="AH76" s="64"/>
      <c r="AI76" s="64"/>
      <c r="AJ76" s="64"/>
      <c r="AK76" s="64"/>
      <c r="AL76" s="64"/>
      <c r="AM76" s="64"/>
      <c r="AN76" s="64"/>
    </row>
    <row r="77" spans="1:40" x14ac:dyDescent="0.35">
      <c r="A77" s="64"/>
      <c r="B77" s="64"/>
      <c r="C77" s="64"/>
      <c r="D77" s="64"/>
      <c r="E77" s="64"/>
      <c r="F77" s="64"/>
      <c r="G77" s="64"/>
      <c r="H77" s="64"/>
      <c r="I77" s="64"/>
      <c r="J77" s="64"/>
      <c r="K77" s="64"/>
      <c r="L77" s="64"/>
      <c r="M77" s="64"/>
      <c r="N77" s="64"/>
      <c r="O77" s="64"/>
      <c r="P77" s="64"/>
      <c r="Q77" s="64"/>
      <c r="R77" s="64"/>
      <c r="S77" s="64"/>
      <c r="T77" s="64"/>
      <c r="U77" s="64"/>
      <c r="V77" s="64"/>
      <c r="W77" s="64"/>
      <c r="X77" s="64"/>
      <c r="Y77" s="64"/>
      <c r="Z77" s="64"/>
      <c r="AA77" s="64"/>
      <c r="AB77" s="64"/>
      <c r="AC77" s="64"/>
      <c r="AD77" s="64"/>
      <c r="AE77" s="64"/>
      <c r="AF77" s="64"/>
      <c r="AG77" s="64"/>
      <c r="AH77" s="64"/>
      <c r="AI77" s="64"/>
      <c r="AJ77" s="64"/>
      <c r="AK77" s="64"/>
      <c r="AL77" s="64"/>
      <c r="AM77" s="64"/>
      <c r="AN77" s="64"/>
    </row>
    <row r="78" spans="1:40" x14ac:dyDescent="0.35">
      <c r="A78" s="64"/>
      <c r="B78" s="64"/>
      <c r="C78" s="64"/>
      <c r="D78" s="64"/>
      <c r="E78" s="64"/>
      <c r="F78" s="64"/>
      <c r="G78" s="64"/>
      <c r="H78" s="64"/>
      <c r="I78" s="64"/>
      <c r="J78" s="64"/>
      <c r="K78" s="64"/>
      <c r="L78" s="64"/>
      <c r="M78" s="64"/>
      <c r="N78" s="64"/>
      <c r="O78" s="64"/>
      <c r="P78" s="64"/>
      <c r="Q78" s="64"/>
      <c r="R78" s="64"/>
      <c r="S78" s="64"/>
      <c r="T78" s="64"/>
      <c r="U78" s="64"/>
      <c r="V78" s="64"/>
      <c r="W78" s="64"/>
      <c r="X78" s="64"/>
      <c r="Y78" s="64"/>
      <c r="Z78" s="64"/>
      <c r="AA78" s="64"/>
      <c r="AB78" s="64"/>
      <c r="AC78" s="64"/>
      <c r="AD78" s="64"/>
      <c r="AE78" s="64"/>
      <c r="AF78" s="64"/>
      <c r="AG78" s="64"/>
      <c r="AH78" s="64"/>
      <c r="AI78" s="64"/>
      <c r="AJ78" s="64"/>
      <c r="AK78" s="64"/>
      <c r="AL78" s="64"/>
      <c r="AM78" s="64"/>
      <c r="AN78" s="64"/>
    </row>
    <row r="79" spans="1:40" x14ac:dyDescent="0.35">
      <c r="A79" s="64"/>
      <c r="B79" s="64"/>
      <c r="C79" s="64"/>
      <c r="D79" s="64"/>
      <c r="E79" s="64"/>
      <c r="F79" s="64"/>
      <c r="G79" s="64"/>
      <c r="H79" s="64"/>
      <c r="I79" s="64"/>
      <c r="J79" s="64"/>
      <c r="K79" s="64"/>
      <c r="L79" s="64"/>
      <c r="M79" s="64"/>
      <c r="N79" s="64"/>
      <c r="O79" s="64"/>
      <c r="P79" s="64"/>
      <c r="Q79" s="64"/>
      <c r="R79" s="64"/>
      <c r="S79" s="64"/>
      <c r="T79" s="64"/>
      <c r="U79" s="64"/>
      <c r="V79" s="64"/>
      <c r="W79" s="64"/>
      <c r="X79" s="64"/>
      <c r="Y79" s="64"/>
      <c r="Z79" s="64"/>
      <c r="AA79" s="64"/>
      <c r="AB79" s="64"/>
      <c r="AC79" s="64"/>
      <c r="AD79" s="64"/>
      <c r="AE79" s="64"/>
      <c r="AF79" s="64"/>
      <c r="AG79" s="64"/>
      <c r="AH79" s="64"/>
      <c r="AI79" s="64"/>
      <c r="AJ79" s="64"/>
      <c r="AK79" s="64"/>
      <c r="AL79" s="64"/>
      <c r="AM79" s="64"/>
      <c r="AN79" s="64"/>
    </row>
    <row r="80" spans="1:40" x14ac:dyDescent="0.35">
      <c r="A80" s="64"/>
      <c r="B80" s="64"/>
      <c r="C80" s="64"/>
      <c r="D80" s="64"/>
      <c r="E80" s="64"/>
      <c r="F80" s="64"/>
      <c r="G80" s="64"/>
      <c r="H80" s="64"/>
      <c r="I80" s="64"/>
      <c r="J80" s="64"/>
      <c r="K80" s="64"/>
      <c r="L80" s="64"/>
      <c r="M80" s="64"/>
      <c r="N80" s="64"/>
      <c r="O80" s="64"/>
      <c r="P80" s="64"/>
      <c r="Q80" s="64"/>
      <c r="R80" s="64"/>
      <c r="S80" s="64"/>
      <c r="T80" s="64"/>
      <c r="U80" s="64"/>
      <c r="V80" s="64"/>
      <c r="W80" s="64"/>
      <c r="X80" s="64"/>
      <c r="Y80" s="64"/>
      <c r="Z80" s="64"/>
      <c r="AA80" s="64"/>
      <c r="AB80" s="64"/>
      <c r="AC80" s="64"/>
      <c r="AD80" s="64"/>
      <c r="AE80" s="64"/>
      <c r="AF80" s="64"/>
      <c r="AG80" s="64"/>
      <c r="AH80" s="64"/>
      <c r="AI80" s="64"/>
      <c r="AJ80" s="64"/>
      <c r="AK80" s="64"/>
      <c r="AL80" s="64"/>
      <c r="AM80" s="64"/>
      <c r="AN80" s="64"/>
    </row>
    <row r="81" spans="1:40" x14ac:dyDescent="0.35">
      <c r="A81" s="64"/>
      <c r="B81" s="64"/>
      <c r="C81" s="64"/>
      <c r="D81" s="64"/>
      <c r="E81" s="64"/>
      <c r="F81" s="64"/>
      <c r="G81" s="64"/>
      <c r="H81" s="64"/>
      <c r="I81" s="64"/>
      <c r="J81" s="64"/>
      <c r="K81" s="64"/>
      <c r="L81" s="64"/>
      <c r="M81" s="64"/>
      <c r="N81" s="64"/>
      <c r="O81" s="64"/>
      <c r="P81" s="64"/>
      <c r="Q81" s="64"/>
      <c r="R81" s="64"/>
      <c r="S81" s="64"/>
      <c r="T81" s="64"/>
      <c r="U81" s="64"/>
      <c r="V81" s="64"/>
      <c r="W81" s="64"/>
      <c r="X81" s="64"/>
      <c r="Y81" s="64"/>
      <c r="Z81" s="64"/>
      <c r="AA81" s="64"/>
      <c r="AB81" s="64"/>
      <c r="AC81" s="64"/>
      <c r="AD81" s="64"/>
      <c r="AE81" s="64"/>
      <c r="AF81" s="64"/>
      <c r="AG81" s="64"/>
      <c r="AH81" s="64"/>
      <c r="AI81" s="64"/>
      <c r="AJ81" s="64"/>
      <c r="AK81" s="64"/>
      <c r="AL81" s="64"/>
      <c r="AM81" s="64"/>
      <c r="AN81" s="64"/>
    </row>
    <row r="82" spans="1:40" x14ac:dyDescent="0.35">
      <c r="A82" s="64"/>
      <c r="B82" s="64"/>
      <c r="C82" s="64"/>
      <c r="D82" s="64"/>
      <c r="E82" s="64"/>
      <c r="F82" s="64"/>
      <c r="G82" s="64"/>
      <c r="H82" s="64"/>
      <c r="I82" s="64"/>
      <c r="J82" s="64"/>
      <c r="K82" s="64"/>
      <c r="L82" s="64"/>
      <c r="M82" s="64"/>
      <c r="N82" s="64"/>
      <c r="O82" s="64"/>
      <c r="P82" s="64"/>
      <c r="Q82" s="64"/>
      <c r="R82" s="64"/>
      <c r="S82" s="64"/>
      <c r="T82" s="64"/>
      <c r="U82" s="64"/>
      <c r="V82" s="64"/>
      <c r="W82" s="64"/>
      <c r="X82" s="64"/>
      <c r="Y82" s="64"/>
      <c r="Z82" s="64"/>
      <c r="AA82" s="64"/>
      <c r="AB82" s="64"/>
      <c r="AC82" s="64"/>
      <c r="AD82" s="64"/>
      <c r="AE82" s="64"/>
      <c r="AF82" s="64"/>
      <c r="AG82" s="64"/>
      <c r="AH82" s="64"/>
      <c r="AI82" s="64"/>
      <c r="AJ82" s="64"/>
      <c r="AK82" s="64"/>
      <c r="AL82" s="64"/>
      <c r="AM82" s="64"/>
      <c r="AN82" s="64"/>
    </row>
    <row r="83" spans="1:40" x14ac:dyDescent="0.35">
      <c r="A83" s="64"/>
      <c r="B83" s="64"/>
      <c r="C83" s="64"/>
      <c r="D83" s="64"/>
      <c r="E83" s="64"/>
      <c r="F83" s="64"/>
      <c r="G83" s="64"/>
      <c r="H83" s="64"/>
      <c r="I83" s="64"/>
      <c r="J83" s="64"/>
      <c r="K83" s="64"/>
      <c r="L83" s="64"/>
      <c r="M83" s="64"/>
      <c r="N83" s="64"/>
      <c r="O83" s="64"/>
      <c r="P83" s="64"/>
      <c r="Q83" s="64"/>
      <c r="R83" s="64"/>
      <c r="S83" s="64"/>
      <c r="T83" s="64"/>
      <c r="U83" s="64"/>
      <c r="V83" s="64"/>
      <c r="W83" s="64"/>
      <c r="X83" s="64"/>
      <c r="Y83" s="64"/>
      <c r="Z83" s="64"/>
      <c r="AA83" s="64"/>
      <c r="AB83" s="64"/>
      <c r="AC83" s="64"/>
      <c r="AD83" s="64"/>
      <c r="AE83" s="64"/>
      <c r="AF83" s="64"/>
      <c r="AG83" s="64"/>
      <c r="AH83" s="64"/>
      <c r="AI83" s="64"/>
      <c r="AJ83" s="64"/>
      <c r="AK83" s="64"/>
      <c r="AL83" s="64"/>
      <c r="AM83" s="64"/>
      <c r="AN83" s="64"/>
    </row>
    <row r="84" spans="1:40" x14ac:dyDescent="0.35">
      <c r="A84" s="64"/>
      <c r="B84" s="64"/>
      <c r="C84" s="64"/>
      <c r="D84" s="64"/>
      <c r="E84" s="64"/>
      <c r="F84" s="64"/>
      <c r="G84" s="64"/>
      <c r="H84" s="64"/>
      <c r="I84" s="64"/>
      <c r="J84" s="64"/>
      <c r="K84" s="64"/>
      <c r="L84" s="64"/>
      <c r="M84" s="64"/>
      <c r="N84" s="64"/>
      <c r="O84" s="64"/>
      <c r="P84" s="64"/>
      <c r="Q84" s="64"/>
      <c r="R84" s="64"/>
      <c r="S84" s="64"/>
      <c r="T84" s="64"/>
      <c r="U84" s="64"/>
      <c r="V84" s="64"/>
      <c r="W84" s="64"/>
      <c r="X84" s="64"/>
      <c r="Y84" s="64"/>
      <c r="Z84" s="64"/>
      <c r="AA84" s="64"/>
      <c r="AB84" s="64"/>
      <c r="AC84" s="64"/>
      <c r="AD84" s="64"/>
      <c r="AE84" s="64"/>
      <c r="AF84" s="64"/>
      <c r="AG84" s="64"/>
      <c r="AH84" s="64"/>
      <c r="AI84" s="64"/>
      <c r="AJ84" s="64"/>
      <c r="AK84" s="64"/>
      <c r="AL84" s="64"/>
      <c r="AM84" s="64"/>
      <c r="AN84" s="64"/>
    </row>
    <row r="85" spans="1:40" x14ac:dyDescent="0.35">
      <c r="A85" s="64"/>
      <c r="B85" s="64"/>
      <c r="C85" s="64"/>
      <c r="D85" s="64"/>
      <c r="E85" s="64"/>
      <c r="F85" s="64"/>
      <c r="G85" s="64"/>
      <c r="H85" s="64"/>
      <c r="I85" s="64"/>
      <c r="J85" s="64"/>
      <c r="K85" s="64"/>
      <c r="L85" s="64"/>
      <c r="M85" s="64"/>
      <c r="N85" s="64"/>
      <c r="O85" s="64"/>
      <c r="P85" s="64"/>
      <c r="Q85" s="64"/>
      <c r="R85" s="64"/>
      <c r="S85" s="64"/>
      <c r="T85" s="64"/>
      <c r="U85" s="64"/>
      <c r="V85" s="64"/>
      <c r="W85" s="64"/>
      <c r="X85" s="64"/>
      <c r="Y85" s="64"/>
      <c r="Z85" s="64"/>
      <c r="AA85" s="64"/>
      <c r="AB85" s="64"/>
      <c r="AC85" s="64"/>
      <c r="AD85" s="64"/>
      <c r="AE85" s="64"/>
      <c r="AF85" s="64"/>
      <c r="AG85" s="64"/>
      <c r="AH85" s="64"/>
      <c r="AI85" s="64"/>
      <c r="AJ85" s="64"/>
      <c r="AK85" s="64"/>
      <c r="AL85" s="64"/>
      <c r="AM85" s="64"/>
      <c r="AN85" s="64"/>
    </row>
    <row r="86" spans="1:40" x14ac:dyDescent="0.35">
      <c r="A86" s="64"/>
      <c r="B86" s="64"/>
      <c r="C86" s="64"/>
      <c r="D86" s="64"/>
      <c r="E86" s="64"/>
      <c r="F86" s="64"/>
      <c r="G86" s="64"/>
      <c r="H86" s="64"/>
      <c r="I86" s="64"/>
      <c r="J86" s="64"/>
      <c r="K86" s="64"/>
      <c r="L86" s="64"/>
      <c r="M86" s="64"/>
      <c r="N86" s="64"/>
      <c r="O86" s="64"/>
      <c r="P86" s="64"/>
      <c r="Q86" s="64"/>
      <c r="R86" s="64"/>
      <c r="S86" s="64"/>
      <c r="T86" s="64"/>
      <c r="U86" s="64"/>
      <c r="V86" s="64"/>
      <c r="W86" s="64"/>
      <c r="X86" s="64"/>
      <c r="Y86" s="64"/>
      <c r="Z86" s="64"/>
      <c r="AA86" s="64"/>
      <c r="AB86" s="64"/>
      <c r="AC86" s="64"/>
      <c r="AD86" s="64"/>
      <c r="AE86" s="64"/>
      <c r="AF86" s="64"/>
      <c r="AG86" s="64"/>
      <c r="AH86" s="64"/>
      <c r="AI86" s="64"/>
      <c r="AJ86" s="64"/>
      <c r="AK86" s="64"/>
      <c r="AL86" s="64"/>
      <c r="AM86" s="64"/>
      <c r="AN86" s="64"/>
    </row>
    <row r="87" spans="1:40" x14ac:dyDescent="0.35">
      <c r="A87" s="64"/>
      <c r="B87" s="64"/>
      <c r="C87" s="64"/>
      <c r="D87" s="64"/>
      <c r="E87" s="64"/>
      <c r="F87" s="64"/>
      <c r="G87" s="64"/>
      <c r="H87" s="64"/>
      <c r="I87" s="64"/>
      <c r="J87" s="64"/>
      <c r="K87" s="64"/>
      <c r="L87" s="64"/>
      <c r="M87" s="64"/>
      <c r="N87" s="64"/>
      <c r="O87" s="64"/>
      <c r="P87" s="64"/>
      <c r="Q87" s="64"/>
      <c r="R87" s="64"/>
      <c r="S87" s="64"/>
      <c r="T87" s="64"/>
      <c r="U87" s="64"/>
      <c r="V87" s="64"/>
      <c r="W87" s="64"/>
      <c r="X87" s="64"/>
      <c r="Y87" s="64"/>
      <c r="Z87" s="64"/>
      <c r="AA87" s="64"/>
      <c r="AB87" s="64"/>
      <c r="AC87" s="64"/>
      <c r="AD87" s="64"/>
      <c r="AE87" s="64"/>
      <c r="AF87" s="64"/>
      <c r="AG87" s="64"/>
      <c r="AH87" s="64"/>
      <c r="AI87" s="64"/>
      <c r="AJ87" s="64"/>
      <c r="AK87" s="64"/>
      <c r="AL87" s="64"/>
      <c r="AM87" s="64"/>
      <c r="AN87" s="64"/>
    </row>
    <row r="88" spans="1:40" x14ac:dyDescent="0.35">
      <c r="A88" s="64"/>
      <c r="B88" s="64"/>
      <c r="C88" s="64"/>
      <c r="D88" s="64"/>
      <c r="E88" s="64"/>
      <c r="F88" s="64"/>
      <c r="G88" s="64"/>
      <c r="H88" s="64"/>
      <c r="I88" s="64"/>
      <c r="J88" s="64"/>
      <c r="K88" s="64"/>
      <c r="L88" s="64"/>
      <c r="M88" s="64"/>
      <c r="N88" s="64"/>
      <c r="O88" s="64"/>
      <c r="P88" s="64"/>
      <c r="Q88" s="64"/>
      <c r="R88" s="64"/>
      <c r="S88" s="64"/>
      <c r="T88" s="64"/>
      <c r="U88" s="64"/>
      <c r="V88" s="64"/>
      <c r="W88" s="64"/>
      <c r="X88" s="64"/>
      <c r="Y88" s="64"/>
      <c r="Z88" s="64"/>
      <c r="AA88" s="64"/>
      <c r="AB88" s="64"/>
      <c r="AC88" s="64"/>
      <c r="AD88" s="64"/>
      <c r="AE88" s="64"/>
      <c r="AF88" s="64"/>
      <c r="AG88" s="64"/>
      <c r="AH88" s="64"/>
      <c r="AI88" s="64"/>
      <c r="AJ88" s="64"/>
      <c r="AK88" s="64"/>
      <c r="AL88" s="64"/>
      <c r="AM88" s="64"/>
      <c r="AN88" s="64"/>
    </row>
    <row r="89" spans="1:40" x14ac:dyDescent="0.35">
      <c r="A89" s="64"/>
      <c r="B89" s="64"/>
      <c r="C89" s="64"/>
      <c r="D89" s="64"/>
      <c r="E89" s="64"/>
      <c r="F89" s="64"/>
      <c r="G89" s="64"/>
      <c r="H89" s="64"/>
      <c r="I89" s="64"/>
      <c r="J89" s="64"/>
      <c r="K89" s="64"/>
      <c r="L89" s="64"/>
      <c r="M89" s="64"/>
      <c r="N89" s="64"/>
      <c r="O89" s="64"/>
      <c r="P89" s="64"/>
      <c r="Q89" s="64"/>
      <c r="R89" s="64"/>
      <c r="S89" s="64"/>
      <c r="T89" s="64"/>
      <c r="U89" s="64"/>
      <c r="V89" s="64"/>
      <c r="W89" s="64"/>
      <c r="X89" s="64"/>
      <c r="Y89" s="64"/>
      <c r="Z89" s="64"/>
      <c r="AA89" s="64"/>
      <c r="AB89" s="64"/>
      <c r="AC89" s="64"/>
      <c r="AD89" s="64"/>
      <c r="AE89" s="64"/>
      <c r="AF89" s="64"/>
      <c r="AG89" s="64"/>
      <c r="AH89" s="64"/>
      <c r="AI89" s="64"/>
      <c r="AJ89" s="64"/>
      <c r="AK89" s="64"/>
      <c r="AL89" s="64"/>
      <c r="AM89" s="64"/>
      <c r="AN89" s="64"/>
    </row>
    <row r="90" spans="1:40" x14ac:dyDescent="0.35">
      <c r="A90" s="64"/>
      <c r="B90" s="64"/>
      <c r="C90" s="64"/>
      <c r="D90" s="64"/>
      <c r="E90" s="64"/>
      <c r="F90" s="64"/>
      <c r="G90" s="64"/>
      <c r="H90" s="64"/>
      <c r="I90" s="64"/>
      <c r="J90" s="64"/>
      <c r="K90" s="64"/>
      <c r="L90" s="64"/>
      <c r="M90" s="64"/>
      <c r="N90" s="64"/>
      <c r="O90" s="64"/>
      <c r="P90" s="64"/>
      <c r="Q90" s="64"/>
      <c r="R90" s="64"/>
      <c r="S90" s="64"/>
      <c r="T90" s="64"/>
      <c r="U90" s="64"/>
      <c r="V90" s="64"/>
      <c r="W90" s="64"/>
      <c r="X90" s="64"/>
      <c r="Y90" s="64"/>
      <c r="Z90" s="64"/>
      <c r="AA90" s="64"/>
      <c r="AB90" s="64"/>
      <c r="AC90" s="64"/>
      <c r="AD90" s="64"/>
      <c r="AE90" s="64"/>
      <c r="AF90" s="64"/>
      <c r="AG90" s="64"/>
      <c r="AH90" s="64"/>
      <c r="AI90" s="64"/>
      <c r="AJ90" s="64"/>
      <c r="AK90" s="64"/>
      <c r="AL90" s="64"/>
      <c r="AM90" s="64"/>
      <c r="AN90" s="64"/>
    </row>
    <row r="91" spans="1:40" x14ac:dyDescent="0.35">
      <c r="A91" s="64"/>
      <c r="B91" s="64"/>
      <c r="C91" s="64"/>
      <c r="D91" s="64"/>
      <c r="E91" s="64"/>
      <c r="F91" s="64"/>
      <c r="G91" s="64"/>
      <c r="H91" s="64"/>
      <c r="I91" s="64"/>
      <c r="J91" s="64"/>
      <c r="K91" s="64"/>
      <c r="L91" s="64"/>
      <c r="M91" s="64"/>
      <c r="N91" s="64"/>
      <c r="O91" s="64"/>
      <c r="P91" s="64"/>
      <c r="Q91" s="64"/>
      <c r="R91" s="64"/>
      <c r="S91" s="64"/>
      <c r="T91" s="64"/>
      <c r="U91" s="64"/>
      <c r="V91" s="64"/>
      <c r="W91" s="64"/>
      <c r="X91" s="64"/>
      <c r="Y91" s="64"/>
      <c r="Z91" s="64"/>
      <c r="AA91" s="64"/>
      <c r="AB91" s="64"/>
      <c r="AC91" s="64"/>
      <c r="AD91" s="64"/>
      <c r="AE91" s="64"/>
      <c r="AF91" s="64"/>
      <c r="AG91" s="64"/>
      <c r="AH91" s="64"/>
      <c r="AI91" s="64"/>
      <c r="AJ91" s="64"/>
      <c r="AK91" s="64"/>
      <c r="AL91" s="64"/>
      <c r="AM91" s="64"/>
      <c r="AN91" s="64"/>
    </row>
    <row r="92" spans="1:40" x14ac:dyDescent="0.35">
      <c r="A92" s="64"/>
      <c r="B92" s="64"/>
      <c r="C92" s="64"/>
      <c r="D92" s="64"/>
      <c r="E92" s="64"/>
      <c r="F92" s="64"/>
      <c r="G92" s="64"/>
      <c r="H92" s="64"/>
      <c r="I92" s="64"/>
      <c r="J92" s="64"/>
      <c r="K92" s="64"/>
      <c r="L92" s="64"/>
      <c r="M92" s="64"/>
      <c r="N92" s="64"/>
      <c r="O92" s="64"/>
      <c r="P92" s="64"/>
      <c r="Q92" s="64"/>
      <c r="R92" s="64"/>
      <c r="S92" s="64"/>
      <c r="T92" s="64"/>
      <c r="U92" s="64"/>
      <c r="V92" s="64"/>
      <c r="W92" s="64"/>
      <c r="X92" s="64"/>
      <c r="Y92" s="64"/>
      <c r="Z92" s="64"/>
      <c r="AA92" s="64"/>
      <c r="AB92" s="64"/>
      <c r="AC92" s="64"/>
      <c r="AD92" s="64"/>
      <c r="AE92" s="64"/>
      <c r="AF92" s="64"/>
      <c r="AG92" s="64"/>
      <c r="AH92" s="64"/>
      <c r="AI92" s="64"/>
      <c r="AJ92" s="64"/>
      <c r="AK92" s="64"/>
      <c r="AL92" s="64"/>
      <c r="AM92" s="64"/>
      <c r="AN92" s="64"/>
    </row>
    <row r="93" spans="1:40" x14ac:dyDescent="0.35">
      <c r="A93" s="64"/>
      <c r="B93" s="64"/>
      <c r="C93" s="64"/>
      <c r="D93" s="64"/>
      <c r="E93" s="64"/>
      <c r="F93" s="64"/>
      <c r="G93" s="64"/>
      <c r="H93" s="64"/>
      <c r="I93" s="64"/>
      <c r="J93" s="64"/>
      <c r="K93" s="64"/>
      <c r="L93" s="64"/>
      <c r="M93" s="64"/>
      <c r="N93" s="64"/>
      <c r="O93" s="64"/>
      <c r="P93" s="64"/>
      <c r="Q93" s="64"/>
      <c r="R93" s="64"/>
      <c r="S93" s="64"/>
      <c r="T93" s="64"/>
      <c r="U93" s="64"/>
      <c r="V93" s="64"/>
      <c r="W93" s="64"/>
      <c r="X93" s="64"/>
      <c r="Y93" s="64"/>
      <c r="Z93" s="64"/>
      <c r="AA93" s="64"/>
      <c r="AB93" s="64"/>
      <c r="AC93" s="64"/>
      <c r="AD93" s="64"/>
      <c r="AE93" s="64"/>
      <c r="AF93" s="64"/>
      <c r="AG93" s="64"/>
      <c r="AH93" s="64"/>
      <c r="AI93" s="64"/>
      <c r="AJ93" s="64"/>
      <c r="AK93" s="64"/>
      <c r="AL93" s="64"/>
      <c r="AM93" s="64"/>
      <c r="AN93" s="64"/>
    </row>
    <row r="94" spans="1:40" x14ac:dyDescent="0.35">
      <c r="A94" s="64"/>
      <c r="B94" s="64"/>
      <c r="C94" s="64"/>
      <c r="D94" s="64"/>
      <c r="E94" s="64"/>
      <c r="F94" s="64"/>
      <c r="G94" s="64"/>
      <c r="H94" s="64"/>
      <c r="I94" s="64"/>
      <c r="J94" s="64"/>
      <c r="K94" s="64"/>
      <c r="L94" s="64"/>
      <c r="M94" s="64"/>
      <c r="N94" s="64"/>
      <c r="O94" s="64"/>
      <c r="P94" s="64"/>
      <c r="Q94" s="64"/>
      <c r="R94" s="64"/>
      <c r="S94" s="64"/>
      <c r="T94" s="64"/>
      <c r="U94" s="64"/>
      <c r="V94" s="64"/>
      <c r="W94" s="64"/>
      <c r="X94" s="64"/>
      <c r="Y94" s="64"/>
      <c r="Z94" s="64"/>
      <c r="AA94" s="64"/>
      <c r="AB94" s="64"/>
      <c r="AC94" s="64"/>
      <c r="AD94" s="64"/>
      <c r="AE94" s="64"/>
      <c r="AF94" s="64"/>
      <c r="AG94" s="64"/>
      <c r="AH94" s="64"/>
      <c r="AI94" s="64"/>
      <c r="AJ94" s="64"/>
      <c r="AK94" s="64"/>
      <c r="AL94" s="64"/>
      <c r="AM94" s="64"/>
      <c r="AN94" s="64"/>
    </row>
    <row r="95" spans="1:40" x14ac:dyDescent="0.35">
      <c r="A95" s="64"/>
      <c r="B95" s="64"/>
      <c r="C95" s="64"/>
      <c r="D95" s="64"/>
      <c r="E95" s="64"/>
      <c r="F95" s="64"/>
      <c r="G95" s="64"/>
      <c r="H95" s="64"/>
      <c r="I95" s="64"/>
      <c r="J95" s="64"/>
      <c r="K95" s="64"/>
      <c r="L95" s="64"/>
      <c r="M95" s="64"/>
      <c r="N95" s="64"/>
      <c r="O95" s="64"/>
      <c r="P95" s="64"/>
      <c r="Q95" s="64"/>
      <c r="R95" s="64"/>
      <c r="S95" s="64"/>
      <c r="T95" s="64"/>
      <c r="U95" s="64"/>
      <c r="V95" s="64"/>
      <c r="W95" s="64"/>
      <c r="X95" s="64"/>
      <c r="Y95" s="64"/>
      <c r="Z95" s="64"/>
      <c r="AA95" s="64"/>
      <c r="AB95" s="64"/>
      <c r="AC95" s="64"/>
      <c r="AD95" s="64"/>
      <c r="AE95" s="64"/>
      <c r="AF95" s="64"/>
      <c r="AG95" s="64"/>
      <c r="AH95" s="64"/>
      <c r="AI95" s="64"/>
      <c r="AJ95" s="64"/>
      <c r="AK95" s="64"/>
      <c r="AL95" s="64"/>
      <c r="AM95" s="64"/>
      <c r="AN95" s="64"/>
    </row>
    <row r="96" spans="1:40" x14ac:dyDescent="0.35">
      <c r="A96" s="64"/>
      <c r="B96" s="64"/>
      <c r="C96" s="64"/>
      <c r="D96" s="64"/>
      <c r="E96" s="64"/>
      <c r="F96" s="64"/>
      <c r="G96" s="64"/>
      <c r="H96" s="64"/>
      <c r="I96" s="64"/>
      <c r="J96" s="64"/>
      <c r="K96" s="64"/>
      <c r="L96" s="64"/>
      <c r="M96" s="64"/>
      <c r="N96" s="64"/>
      <c r="O96" s="64"/>
      <c r="P96" s="64"/>
      <c r="Q96" s="64"/>
      <c r="R96" s="64"/>
      <c r="S96" s="64"/>
      <c r="T96" s="64"/>
      <c r="U96" s="64"/>
      <c r="V96" s="64"/>
      <c r="W96" s="64"/>
      <c r="X96" s="64"/>
      <c r="Y96" s="64"/>
      <c r="Z96" s="64"/>
      <c r="AA96" s="64"/>
      <c r="AB96" s="64"/>
      <c r="AC96" s="64"/>
      <c r="AD96" s="64"/>
      <c r="AE96" s="64"/>
      <c r="AF96" s="64"/>
      <c r="AG96" s="64"/>
      <c r="AH96" s="64"/>
      <c r="AI96" s="64"/>
      <c r="AJ96" s="64"/>
      <c r="AK96" s="64"/>
      <c r="AL96" s="64"/>
      <c r="AM96" s="64"/>
      <c r="AN96" s="64"/>
    </row>
    <row r="97" spans="1:40" x14ac:dyDescent="0.35">
      <c r="A97" s="64"/>
      <c r="B97" s="64"/>
      <c r="C97" s="64"/>
      <c r="D97" s="64"/>
      <c r="E97" s="64"/>
      <c r="F97" s="64"/>
      <c r="G97" s="64"/>
      <c r="H97" s="64"/>
      <c r="I97" s="64"/>
      <c r="J97" s="64"/>
      <c r="K97" s="64"/>
      <c r="L97" s="64"/>
      <c r="M97" s="64"/>
      <c r="N97" s="64"/>
      <c r="O97" s="64"/>
      <c r="P97" s="64"/>
      <c r="Q97" s="64"/>
      <c r="R97" s="64"/>
      <c r="S97" s="64"/>
      <c r="T97" s="64"/>
      <c r="U97" s="64"/>
      <c r="V97" s="64"/>
      <c r="W97" s="64"/>
      <c r="X97" s="64"/>
      <c r="Y97" s="64"/>
      <c r="Z97" s="64"/>
      <c r="AA97" s="64"/>
      <c r="AB97" s="64"/>
      <c r="AC97" s="64"/>
      <c r="AD97" s="64"/>
      <c r="AE97" s="64"/>
      <c r="AF97" s="64"/>
      <c r="AG97" s="64"/>
      <c r="AH97" s="64"/>
      <c r="AI97" s="64"/>
      <c r="AJ97" s="64"/>
      <c r="AK97" s="64"/>
      <c r="AL97" s="64"/>
      <c r="AM97" s="64"/>
      <c r="AN97" s="64"/>
    </row>
    <row r="98" spans="1:40" x14ac:dyDescent="0.35">
      <c r="A98" s="64"/>
      <c r="B98" s="64"/>
      <c r="C98" s="64"/>
      <c r="D98" s="64"/>
      <c r="E98" s="64"/>
      <c r="F98" s="64"/>
      <c r="G98" s="64"/>
      <c r="H98" s="64"/>
      <c r="I98" s="64"/>
      <c r="J98" s="64"/>
      <c r="K98" s="64"/>
      <c r="L98" s="64"/>
      <c r="M98" s="64"/>
      <c r="N98" s="64"/>
      <c r="O98" s="64"/>
      <c r="P98" s="64"/>
      <c r="Q98" s="64"/>
      <c r="R98" s="64"/>
      <c r="S98" s="64"/>
      <c r="T98" s="64"/>
      <c r="U98" s="64"/>
      <c r="V98" s="64"/>
      <c r="W98" s="64"/>
      <c r="X98" s="64"/>
      <c r="Y98" s="64"/>
      <c r="Z98" s="64"/>
      <c r="AA98" s="64"/>
      <c r="AB98" s="64"/>
      <c r="AC98" s="64"/>
      <c r="AD98" s="64"/>
      <c r="AE98" s="64"/>
      <c r="AF98" s="64"/>
      <c r="AG98" s="64"/>
      <c r="AH98" s="64"/>
      <c r="AI98" s="64"/>
      <c r="AJ98" s="64"/>
      <c r="AK98" s="64"/>
      <c r="AL98" s="64"/>
      <c r="AM98" s="64"/>
      <c r="AN98" s="64"/>
    </row>
    <row r="99" spans="1:40" x14ac:dyDescent="0.35">
      <c r="A99" s="64"/>
      <c r="B99" s="64"/>
      <c r="C99" s="64"/>
      <c r="D99" s="64"/>
      <c r="E99" s="64"/>
      <c r="F99" s="64"/>
      <c r="G99" s="64"/>
      <c r="H99" s="64"/>
      <c r="I99" s="64"/>
      <c r="J99" s="64"/>
      <c r="K99" s="64"/>
      <c r="L99" s="64"/>
      <c r="M99" s="64"/>
      <c r="N99" s="64"/>
      <c r="O99" s="64"/>
      <c r="P99" s="64"/>
      <c r="Q99" s="64"/>
      <c r="R99" s="64"/>
      <c r="S99" s="64"/>
      <c r="T99" s="64"/>
      <c r="U99" s="64"/>
      <c r="V99" s="64"/>
      <c r="W99" s="64"/>
      <c r="X99" s="64"/>
      <c r="Y99" s="64"/>
      <c r="Z99" s="64"/>
      <c r="AA99" s="64"/>
      <c r="AB99" s="64"/>
      <c r="AC99" s="64"/>
      <c r="AD99" s="64"/>
      <c r="AE99" s="64"/>
      <c r="AF99" s="64"/>
      <c r="AG99" s="64"/>
      <c r="AH99" s="64"/>
      <c r="AI99" s="64"/>
      <c r="AJ99" s="64"/>
      <c r="AK99" s="64"/>
      <c r="AL99" s="64"/>
      <c r="AM99" s="64"/>
      <c r="AN99" s="64"/>
    </row>
    <row r="100" spans="1:40" x14ac:dyDescent="0.35">
      <c r="A100" s="64"/>
      <c r="B100" s="64"/>
      <c r="C100" s="64"/>
      <c r="D100" s="64"/>
      <c r="E100" s="64"/>
      <c r="F100" s="64"/>
      <c r="G100" s="64"/>
      <c r="H100" s="64"/>
      <c r="I100" s="64"/>
      <c r="J100" s="64"/>
      <c r="K100" s="64"/>
      <c r="L100" s="64"/>
      <c r="M100" s="64"/>
      <c r="N100" s="64"/>
      <c r="O100" s="64"/>
      <c r="P100" s="64"/>
      <c r="Q100" s="64"/>
      <c r="R100" s="64"/>
      <c r="S100" s="64"/>
      <c r="T100" s="64"/>
      <c r="U100" s="64"/>
      <c r="V100" s="64"/>
      <c r="W100" s="64"/>
      <c r="X100" s="64"/>
      <c r="Y100" s="64"/>
      <c r="Z100" s="64"/>
      <c r="AA100" s="64"/>
      <c r="AB100" s="64"/>
      <c r="AC100" s="64"/>
      <c r="AD100" s="64"/>
      <c r="AE100" s="64"/>
      <c r="AF100" s="64"/>
      <c r="AG100" s="64"/>
      <c r="AH100" s="64"/>
      <c r="AI100" s="64"/>
      <c r="AJ100" s="64"/>
      <c r="AK100" s="64"/>
      <c r="AL100" s="64"/>
      <c r="AM100" s="64"/>
      <c r="AN100" s="64"/>
    </row>
    <row r="101" spans="1:40" x14ac:dyDescent="0.35">
      <c r="A101" s="64"/>
      <c r="B101" s="64"/>
      <c r="C101" s="64"/>
      <c r="D101" s="64"/>
      <c r="E101" s="64"/>
      <c r="F101" s="64"/>
      <c r="G101" s="64"/>
      <c r="H101" s="64"/>
      <c r="I101" s="64"/>
      <c r="J101" s="64"/>
      <c r="K101" s="64"/>
      <c r="L101" s="64"/>
      <c r="M101" s="64"/>
      <c r="N101" s="64"/>
      <c r="O101" s="64"/>
      <c r="P101" s="64"/>
      <c r="Q101" s="64"/>
      <c r="R101" s="64"/>
      <c r="S101" s="64"/>
      <c r="T101" s="64"/>
      <c r="U101" s="64"/>
      <c r="V101" s="64"/>
      <c r="W101" s="64"/>
      <c r="X101" s="64"/>
      <c r="Y101" s="64"/>
      <c r="Z101" s="64"/>
      <c r="AA101" s="64"/>
      <c r="AB101" s="64"/>
      <c r="AC101" s="64"/>
      <c r="AD101" s="64"/>
      <c r="AE101" s="64"/>
      <c r="AF101" s="64"/>
      <c r="AG101" s="64"/>
      <c r="AH101" s="64"/>
      <c r="AI101" s="64"/>
      <c r="AJ101" s="64"/>
      <c r="AK101" s="64"/>
      <c r="AL101" s="64"/>
      <c r="AM101" s="64"/>
      <c r="AN101" s="64"/>
    </row>
    <row r="102" spans="1:40" x14ac:dyDescent="0.35">
      <c r="A102" s="64"/>
      <c r="B102" s="64"/>
      <c r="C102" s="64"/>
      <c r="D102" s="64"/>
      <c r="E102" s="64"/>
      <c r="F102" s="64"/>
      <c r="G102" s="64"/>
      <c r="H102" s="64"/>
      <c r="I102" s="64"/>
      <c r="J102" s="64"/>
      <c r="K102" s="64"/>
      <c r="L102" s="64"/>
      <c r="M102" s="64"/>
      <c r="N102" s="64"/>
      <c r="O102" s="64"/>
      <c r="P102" s="64"/>
      <c r="Q102" s="64"/>
      <c r="R102" s="64"/>
      <c r="S102" s="64"/>
      <c r="T102" s="64"/>
      <c r="U102" s="64"/>
      <c r="V102" s="64"/>
      <c r="W102" s="64"/>
      <c r="X102" s="64"/>
      <c r="Y102" s="64"/>
      <c r="Z102" s="64"/>
      <c r="AA102" s="64"/>
      <c r="AB102" s="64"/>
      <c r="AC102" s="64"/>
      <c r="AD102" s="64"/>
      <c r="AE102" s="64"/>
      <c r="AF102" s="64"/>
      <c r="AG102" s="64"/>
      <c r="AH102" s="64"/>
      <c r="AI102" s="64"/>
      <c r="AJ102" s="64"/>
      <c r="AK102" s="64"/>
      <c r="AL102" s="64"/>
      <c r="AM102" s="64"/>
      <c r="AN102" s="64"/>
    </row>
    <row r="103" spans="1:40" x14ac:dyDescent="0.35">
      <c r="A103" s="64"/>
      <c r="B103" s="64"/>
      <c r="C103" s="64"/>
      <c r="D103" s="64"/>
      <c r="E103" s="64"/>
      <c r="F103" s="64"/>
      <c r="G103" s="64"/>
      <c r="H103" s="64"/>
      <c r="I103" s="64"/>
      <c r="J103" s="64"/>
      <c r="K103" s="64"/>
      <c r="L103" s="64"/>
      <c r="M103" s="64"/>
      <c r="N103" s="64"/>
      <c r="O103" s="64"/>
      <c r="P103" s="64"/>
      <c r="Q103" s="64"/>
      <c r="R103" s="64"/>
      <c r="S103" s="64"/>
      <c r="T103" s="64"/>
      <c r="U103" s="64"/>
      <c r="V103" s="64"/>
      <c r="W103" s="64"/>
      <c r="X103" s="64"/>
      <c r="Y103" s="64"/>
      <c r="Z103" s="64"/>
      <c r="AA103" s="64"/>
      <c r="AB103" s="64"/>
      <c r="AC103" s="64"/>
      <c r="AD103" s="64"/>
      <c r="AE103" s="64"/>
      <c r="AF103" s="64"/>
      <c r="AG103" s="64"/>
      <c r="AH103" s="64"/>
      <c r="AI103" s="64"/>
      <c r="AJ103" s="64"/>
      <c r="AK103" s="64"/>
      <c r="AL103" s="64"/>
      <c r="AM103" s="64"/>
      <c r="AN103" s="64"/>
    </row>
    <row r="104" spans="1:40" x14ac:dyDescent="0.35">
      <c r="A104" s="64"/>
      <c r="B104" s="64"/>
      <c r="C104" s="64"/>
      <c r="D104" s="64"/>
      <c r="E104" s="64"/>
      <c r="F104" s="64"/>
      <c r="G104" s="64"/>
      <c r="H104" s="64"/>
      <c r="I104" s="64"/>
      <c r="J104" s="64"/>
      <c r="K104" s="64"/>
      <c r="L104" s="64"/>
      <c r="M104" s="64"/>
      <c r="N104" s="64"/>
      <c r="O104" s="64"/>
      <c r="P104" s="64"/>
      <c r="Q104" s="64"/>
      <c r="R104" s="64"/>
      <c r="S104" s="64"/>
      <c r="T104" s="64"/>
      <c r="U104" s="64"/>
      <c r="V104" s="64"/>
      <c r="W104" s="64"/>
      <c r="X104" s="64"/>
      <c r="Y104" s="64"/>
      <c r="Z104" s="64"/>
      <c r="AA104" s="64"/>
      <c r="AB104" s="64"/>
      <c r="AC104" s="64"/>
      <c r="AD104" s="64"/>
      <c r="AE104" s="64"/>
      <c r="AF104" s="64"/>
      <c r="AG104" s="64"/>
      <c r="AH104" s="64"/>
      <c r="AI104" s="64"/>
      <c r="AJ104" s="64"/>
      <c r="AK104" s="64"/>
      <c r="AL104" s="64"/>
      <c r="AM104" s="64"/>
      <c r="AN104" s="64"/>
    </row>
    <row r="105" spans="1:40" x14ac:dyDescent="0.35">
      <c r="A105" s="64"/>
      <c r="B105" s="64"/>
      <c r="C105" s="64"/>
      <c r="D105" s="64"/>
      <c r="E105" s="64"/>
      <c r="F105" s="64"/>
      <c r="G105" s="64"/>
      <c r="H105" s="64"/>
      <c r="I105" s="64"/>
      <c r="J105" s="64"/>
      <c r="K105" s="64"/>
      <c r="L105" s="64"/>
      <c r="M105" s="64"/>
      <c r="N105" s="64"/>
      <c r="O105" s="64"/>
      <c r="P105" s="64"/>
      <c r="Q105" s="64"/>
      <c r="R105" s="64"/>
      <c r="S105" s="64"/>
      <c r="T105" s="64"/>
      <c r="U105" s="64"/>
      <c r="V105" s="64"/>
      <c r="W105" s="64"/>
      <c r="X105" s="64"/>
      <c r="Y105" s="64"/>
      <c r="Z105" s="64"/>
      <c r="AA105" s="64"/>
      <c r="AB105" s="64"/>
      <c r="AC105" s="64"/>
      <c r="AD105" s="64"/>
      <c r="AE105" s="64"/>
      <c r="AF105" s="64"/>
      <c r="AG105" s="64"/>
      <c r="AH105" s="64"/>
      <c r="AI105" s="64"/>
      <c r="AJ105" s="64"/>
      <c r="AK105" s="64"/>
      <c r="AL105" s="64"/>
      <c r="AM105" s="64"/>
      <c r="AN105" s="64"/>
    </row>
    <row r="106" spans="1:40" x14ac:dyDescent="0.35">
      <c r="A106" s="64"/>
      <c r="B106" s="64"/>
      <c r="C106" s="64"/>
      <c r="D106" s="64"/>
      <c r="E106" s="64"/>
      <c r="F106" s="64"/>
      <c r="G106" s="64"/>
      <c r="H106" s="64"/>
      <c r="I106" s="64"/>
      <c r="J106" s="64"/>
      <c r="K106" s="64"/>
      <c r="L106" s="64"/>
      <c r="M106" s="64"/>
      <c r="N106" s="64"/>
      <c r="O106" s="64"/>
      <c r="P106" s="64"/>
      <c r="Q106" s="64"/>
      <c r="R106" s="64"/>
      <c r="S106" s="64"/>
      <c r="T106" s="64"/>
      <c r="U106" s="64"/>
      <c r="V106" s="64"/>
      <c r="W106" s="64"/>
      <c r="X106" s="64"/>
      <c r="Y106" s="64"/>
      <c r="Z106" s="64"/>
      <c r="AA106" s="64"/>
      <c r="AB106" s="64"/>
      <c r="AC106" s="64"/>
      <c r="AD106" s="64"/>
      <c r="AE106" s="64"/>
      <c r="AF106" s="64"/>
      <c r="AG106" s="64"/>
      <c r="AH106" s="64"/>
      <c r="AI106" s="64"/>
      <c r="AJ106" s="64"/>
      <c r="AK106" s="64"/>
      <c r="AL106" s="64"/>
      <c r="AM106" s="64"/>
      <c r="AN106" s="64"/>
    </row>
    <row r="107" spans="1:40" x14ac:dyDescent="0.35">
      <c r="A107" s="64"/>
      <c r="B107" s="64"/>
      <c r="C107" s="64"/>
      <c r="D107" s="64"/>
      <c r="E107" s="64"/>
      <c r="F107" s="64"/>
      <c r="G107" s="64"/>
      <c r="H107" s="64"/>
      <c r="I107" s="64"/>
      <c r="J107" s="64"/>
      <c r="K107" s="64"/>
      <c r="L107" s="64"/>
      <c r="M107" s="64"/>
      <c r="N107" s="64"/>
      <c r="O107" s="64"/>
      <c r="P107" s="64"/>
      <c r="Q107" s="64"/>
      <c r="R107" s="64"/>
      <c r="S107" s="64"/>
      <c r="T107" s="64"/>
      <c r="U107" s="64"/>
      <c r="V107" s="64"/>
      <c r="W107" s="64"/>
      <c r="X107" s="64"/>
      <c r="Y107" s="64"/>
      <c r="Z107" s="64"/>
      <c r="AA107" s="64"/>
      <c r="AB107" s="64"/>
      <c r="AC107" s="64"/>
      <c r="AD107" s="64"/>
      <c r="AE107" s="64"/>
      <c r="AF107" s="64"/>
      <c r="AG107" s="64"/>
      <c r="AH107" s="64"/>
      <c r="AI107" s="64"/>
      <c r="AJ107" s="64"/>
      <c r="AK107" s="64"/>
      <c r="AL107" s="64"/>
      <c r="AM107" s="64"/>
      <c r="AN107" s="64"/>
    </row>
    <row r="108" spans="1:40" x14ac:dyDescent="0.35">
      <c r="A108" s="64"/>
      <c r="B108" s="64"/>
      <c r="C108" s="64"/>
      <c r="D108" s="64"/>
      <c r="E108" s="64"/>
      <c r="F108" s="64"/>
      <c r="G108" s="64"/>
      <c r="H108" s="64"/>
      <c r="I108" s="64"/>
      <c r="J108" s="64"/>
      <c r="K108" s="64"/>
      <c r="L108" s="64"/>
      <c r="M108" s="64"/>
      <c r="N108" s="64"/>
      <c r="O108" s="64"/>
      <c r="P108" s="64"/>
      <c r="Q108" s="64"/>
      <c r="R108" s="64"/>
      <c r="S108" s="64"/>
      <c r="T108" s="64"/>
      <c r="U108" s="64"/>
      <c r="V108" s="64"/>
      <c r="W108" s="64"/>
      <c r="X108" s="64"/>
      <c r="Y108" s="64"/>
      <c r="Z108" s="64"/>
      <c r="AA108" s="64"/>
      <c r="AB108" s="64"/>
      <c r="AC108" s="64"/>
      <c r="AD108" s="64"/>
      <c r="AE108" s="64"/>
      <c r="AF108" s="64"/>
      <c r="AG108" s="64"/>
      <c r="AH108" s="64"/>
      <c r="AI108" s="64"/>
      <c r="AJ108" s="64"/>
      <c r="AK108" s="64"/>
      <c r="AL108" s="64"/>
      <c r="AM108" s="64"/>
      <c r="AN108" s="64"/>
    </row>
    <row r="109" spans="1:40" x14ac:dyDescent="0.35">
      <c r="A109" s="64"/>
      <c r="B109" s="64"/>
      <c r="C109" s="64"/>
      <c r="D109" s="64"/>
      <c r="E109" s="64"/>
      <c r="F109" s="64"/>
      <c r="G109" s="64"/>
      <c r="H109" s="64"/>
      <c r="I109" s="64"/>
      <c r="J109" s="64"/>
      <c r="K109" s="64"/>
      <c r="L109" s="64"/>
      <c r="M109" s="64"/>
      <c r="N109" s="64"/>
      <c r="O109" s="64"/>
      <c r="P109" s="64"/>
      <c r="Q109" s="64"/>
      <c r="R109" s="64"/>
      <c r="S109" s="64"/>
      <c r="T109" s="64"/>
      <c r="U109" s="64"/>
      <c r="V109" s="64"/>
      <c r="W109" s="64"/>
      <c r="X109" s="64"/>
      <c r="Y109" s="64"/>
      <c r="Z109" s="64"/>
      <c r="AA109" s="64"/>
      <c r="AB109" s="64"/>
      <c r="AC109" s="64"/>
      <c r="AD109" s="64"/>
      <c r="AE109" s="64"/>
      <c r="AF109" s="64"/>
      <c r="AG109" s="64"/>
      <c r="AH109" s="64"/>
      <c r="AI109" s="64"/>
      <c r="AJ109" s="64"/>
      <c r="AK109" s="64"/>
      <c r="AL109" s="64"/>
      <c r="AM109" s="64"/>
      <c r="AN109" s="64"/>
    </row>
    <row r="110" spans="1:40" x14ac:dyDescent="0.35">
      <c r="A110" s="64"/>
      <c r="B110" s="64"/>
      <c r="C110" s="64"/>
      <c r="D110" s="64"/>
      <c r="E110" s="64"/>
      <c r="F110" s="64"/>
      <c r="G110" s="64"/>
      <c r="H110" s="64"/>
      <c r="I110" s="64"/>
      <c r="J110" s="64"/>
      <c r="K110" s="64"/>
      <c r="L110" s="64"/>
      <c r="M110" s="64"/>
      <c r="N110" s="64"/>
      <c r="O110" s="64"/>
      <c r="P110" s="64"/>
      <c r="Q110" s="64"/>
      <c r="R110" s="64"/>
      <c r="S110" s="64"/>
      <c r="T110" s="64"/>
      <c r="U110" s="64"/>
      <c r="V110" s="64"/>
      <c r="W110" s="64"/>
      <c r="X110" s="64"/>
      <c r="Y110" s="64"/>
      <c r="Z110" s="64"/>
      <c r="AA110" s="64"/>
      <c r="AB110" s="64"/>
      <c r="AC110" s="64"/>
      <c r="AD110" s="64"/>
      <c r="AE110" s="64"/>
      <c r="AF110" s="64"/>
      <c r="AG110" s="64"/>
      <c r="AH110" s="64"/>
      <c r="AI110" s="64"/>
      <c r="AJ110" s="64"/>
      <c r="AK110" s="64"/>
      <c r="AL110" s="64"/>
      <c r="AM110" s="64"/>
      <c r="AN110" s="64"/>
    </row>
    <row r="111" spans="1:40" x14ac:dyDescent="0.35">
      <c r="A111" s="64"/>
      <c r="B111" s="64"/>
      <c r="C111" s="64"/>
      <c r="D111" s="64"/>
      <c r="E111" s="64"/>
      <c r="F111" s="64"/>
      <c r="G111" s="64"/>
      <c r="H111" s="64"/>
      <c r="I111" s="64"/>
      <c r="J111" s="64"/>
      <c r="K111" s="64"/>
      <c r="L111" s="64"/>
      <c r="M111" s="64"/>
      <c r="N111" s="64"/>
      <c r="O111" s="64"/>
      <c r="P111" s="64"/>
      <c r="Q111" s="64"/>
      <c r="R111" s="64"/>
      <c r="S111" s="64"/>
      <c r="T111" s="64"/>
      <c r="U111" s="64"/>
      <c r="V111" s="64"/>
      <c r="W111" s="64"/>
      <c r="X111" s="64"/>
      <c r="Y111" s="64"/>
      <c r="Z111" s="64"/>
      <c r="AA111" s="64"/>
      <c r="AB111" s="64"/>
      <c r="AC111" s="64"/>
      <c r="AD111" s="64"/>
      <c r="AE111" s="64"/>
      <c r="AF111" s="64"/>
      <c r="AG111" s="64"/>
      <c r="AH111" s="64"/>
      <c r="AI111" s="64"/>
      <c r="AJ111" s="64"/>
      <c r="AK111" s="64"/>
      <c r="AL111" s="64"/>
      <c r="AM111" s="64"/>
      <c r="AN111" s="64"/>
    </row>
    <row r="112" spans="1:40" x14ac:dyDescent="0.35">
      <c r="A112" s="64"/>
      <c r="B112" s="64"/>
      <c r="C112" s="64"/>
      <c r="D112" s="64"/>
      <c r="E112" s="64"/>
      <c r="F112" s="64"/>
      <c r="G112" s="64"/>
      <c r="H112" s="64"/>
      <c r="I112" s="64"/>
      <c r="J112" s="64"/>
      <c r="K112" s="64"/>
      <c r="L112" s="64"/>
      <c r="M112" s="64"/>
      <c r="N112" s="64"/>
      <c r="O112" s="64"/>
      <c r="P112" s="64"/>
      <c r="Q112" s="64"/>
      <c r="R112" s="64"/>
      <c r="S112" s="64"/>
      <c r="T112" s="64"/>
      <c r="U112" s="64"/>
      <c r="V112" s="64"/>
      <c r="W112" s="64"/>
      <c r="X112" s="64"/>
      <c r="Y112" s="64"/>
      <c r="Z112" s="64"/>
      <c r="AA112" s="64"/>
      <c r="AB112" s="64"/>
      <c r="AC112" s="64"/>
      <c r="AD112" s="64"/>
      <c r="AE112" s="64"/>
      <c r="AF112" s="64"/>
      <c r="AG112" s="64"/>
      <c r="AH112" s="64"/>
      <c r="AI112" s="64"/>
      <c r="AJ112" s="64"/>
      <c r="AK112" s="64"/>
      <c r="AL112" s="64"/>
      <c r="AM112" s="64"/>
      <c r="AN112" s="64"/>
    </row>
    <row r="113" spans="1:40" x14ac:dyDescent="0.35">
      <c r="A113" s="64"/>
      <c r="B113" s="64"/>
      <c r="C113" s="64"/>
      <c r="D113" s="64"/>
      <c r="E113" s="64"/>
      <c r="F113" s="64"/>
      <c r="G113" s="64"/>
      <c r="H113" s="64"/>
      <c r="I113" s="64"/>
      <c r="J113" s="64"/>
      <c r="K113" s="64"/>
      <c r="L113" s="64"/>
      <c r="M113" s="64"/>
      <c r="N113" s="64"/>
      <c r="O113" s="64"/>
      <c r="P113" s="64"/>
      <c r="Q113" s="64"/>
      <c r="R113" s="64"/>
      <c r="S113" s="64"/>
      <c r="T113" s="64"/>
      <c r="U113" s="64"/>
      <c r="V113" s="64"/>
      <c r="W113" s="64"/>
      <c r="X113" s="64"/>
      <c r="Y113" s="64"/>
      <c r="Z113" s="64"/>
      <c r="AA113" s="64"/>
      <c r="AB113" s="64"/>
      <c r="AC113" s="64"/>
      <c r="AD113" s="64"/>
      <c r="AE113" s="64"/>
      <c r="AF113" s="64"/>
      <c r="AG113" s="64"/>
      <c r="AH113" s="64"/>
      <c r="AI113" s="64"/>
      <c r="AJ113" s="64"/>
      <c r="AK113" s="64"/>
      <c r="AL113" s="64"/>
      <c r="AM113" s="64"/>
      <c r="AN113" s="64"/>
    </row>
    <row r="114" spans="1:40" x14ac:dyDescent="0.35">
      <c r="A114" s="64"/>
      <c r="B114" s="64"/>
      <c r="C114" s="64"/>
      <c r="D114" s="64"/>
      <c r="E114" s="64"/>
      <c r="F114" s="64"/>
      <c r="G114" s="64"/>
      <c r="H114" s="64"/>
      <c r="I114" s="64"/>
      <c r="J114" s="64"/>
      <c r="K114" s="64"/>
      <c r="L114" s="64"/>
      <c r="M114" s="64"/>
      <c r="N114" s="64"/>
      <c r="O114" s="64"/>
      <c r="P114" s="64"/>
      <c r="Q114" s="64"/>
      <c r="R114" s="64"/>
      <c r="S114" s="64"/>
      <c r="T114" s="64"/>
      <c r="U114" s="64"/>
      <c r="V114" s="64"/>
      <c r="W114" s="64"/>
      <c r="X114" s="64"/>
      <c r="Y114" s="64"/>
      <c r="Z114" s="64"/>
      <c r="AA114" s="64"/>
      <c r="AB114" s="64"/>
      <c r="AC114" s="64"/>
      <c r="AD114" s="64"/>
      <c r="AE114" s="64"/>
      <c r="AF114" s="64"/>
      <c r="AG114" s="64"/>
      <c r="AH114" s="64"/>
      <c r="AI114" s="64"/>
      <c r="AJ114" s="64"/>
      <c r="AK114" s="64"/>
      <c r="AL114" s="64"/>
      <c r="AM114" s="64"/>
      <c r="AN114" s="64"/>
    </row>
    <row r="115" spans="1:40" x14ac:dyDescent="0.35">
      <c r="A115" s="64"/>
      <c r="B115" s="64"/>
      <c r="C115" s="64"/>
      <c r="D115" s="64"/>
      <c r="E115" s="64"/>
      <c r="F115" s="64"/>
      <c r="G115" s="64"/>
      <c r="H115" s="64"/>
      <c r="I115" s="64"/>
      <c r="J115" s="64"/>
      <c r="K115" s="64"/>
      <c r="L115" s="64"/>
      <c r="M115" s="64"/>
      <c r="N115" s="64"/>
      <c r="O115" s="64"/>
      <c r="P115" s="64"/>
      <c r="Q115" s="64"/>
      <c r="R115" s="64"/>
      <c r="S115" s="64"/>
      <c r="T115" s="64"/>
      <c r="U115" s="64"/>
      <c r="V115" s="64"/>
      <c r="W115" s="64"/>
      <c r="X115" s="64"/>
      <c r="Y115" s="64"/>
      <c r="Z115" s="64"/>
      <c r="AA115" s="64"/>
      <c r="AB115" s="64"/>
      <c r="AC115" s="64"/>
      <c r="AD115" s="64"/>
      <c r="AE115" s="64"/>
      <c r="AF115" s="64"/>
      <c r="AG115" s="64"/>
      <c r="AH115" s="64"/>
      <c r="AI115" s="64"/>
      <c r="AJ115" s="64"/>
      <c r="AK115" s="64"/>
      <c r="AL115" s="64"/>
      <c r="AM115" s="64"/>
      <c r="AN115" s="64"/>
    </row>
    <row r="116" spans="1:40" x14ac:dyDescent="0.35">
      <c r="A116" s="64"/>
      <c r="B116" s="64"/>
      <c r="C116" s="64"/>
      <c r="D116" s="64"/>
      <c r="E116" s="64"/>
      <c r="F116" s="64"/>
      <c r="G116" s="64"/>
      <c r="H116" s="64"/>
      <c r="I116" s="64"/>
      <c r="J116" s="64"/>
      <c r="K116" s="64"/>
      <c r="L116" s="64"/>
      <c r="M116" s="64"/>
      <c r="N116" s="64"/>
      <c r="O116" s="64"/>
      <c r="P116" s="64"/>
      <c r="Q116" s="64"/>
      <c r="R116" s="64"/>
      <c r="S116" s="64"/>
      <c r="T116" s="64"/>
      <c r="U116" s="64"/>
      <c r="V116" s="64"/>
      <c r="W116" s="64"/>
      <c r="X116" s="64"/>
      <c r="Y116" s="64"/>
      <c r="Z116" s="64"/>
      <c r="AA116" s="64"/>
      <c r="AB116" s="64"/>
      <c r="AC116" s="64"/>
      <c r="AD116" s="64"/>
      <c r="AE116" s="64"/>
      <c r="AF116" s="64"/>
      <c r="AG116" s="64"/>
      <c r="AH116" s="64"/>
      <c r="AI116" s="64"/>
      <c r="AJ116" s="64"/>
      <c r="AK116" s="64"/>
      <c r="AL116" s="64"/>
      <c r="AM116" s="64"/>
      <c r="AN116" s="64"/>
    </row>
    <row r="117" spans="1:40" x14ac:dyDescent="0.35">
      <c r="A117" s="64"/>
      <c r="B117" s="64"/>
      <c r="C117" s="64"/>
      <c r="D117" s="64"/>
      <c r="E117" s="64"/>
      <c r="F117" s="64"/>
      <c r="G117" s="64"/>
      <c r="H117" s="64"/>
      <c r="I117" s="64"/>
      <c r="J117" s="64"/>
      <c r="K117" s="64"/>
      <c r="L117" s="64"/>
      <c r="M117" s="64"/>
      <c r="N117" s="64"/>
      <c r="O117" s="64"/>
      <c r="P117" s="64"/>
      <c r="Q117" s="64"/>
      <c r="R117" s="64"/>
      <c r="S117" s="64"/>
      <c r="T117" s="64"/>
      <c r="U117" s="64"/>
      <c r="V117" s="64"/>
      <c r="W117" s="64"/>
      <c r="X117" s="64"/>
      <c r="Y117" s="64"/>
      <c r="Z117" s="64"/>
      <c r="AA117" s="64"/>
      <c r="AB117" s="64"/>
      <c r="AC117" s="64"/>
      <c r="AD117" s="64"/>
      <c r="AE117" s="64"/>
      <c r="AF117" s="64"/>
      <c r="AG117" s="64"/>
      <c r="AH117" s="64"/>
      <c r="AI117" s="64"/>
      <c r="AJ117" s="64"/>
      <c r="AK117" s="64"/>
      <c r="AL117" s="64"/>
      <c r="AM117" s="64"/>
      <c r="AN117" s="64"/>
    </row>
    <row r="118" spans="1:40" x14ac:dyDescent="0.35">
      <c r="A118" s="64"/>
      <c r="B118" s="64"/>
      <c r="C118" s="64"/>
      <c r="D118" s="64"/>
      <c r="E118" s="64"/>
      <c r="F118" s="64"/>
      <c r="G118" s="64"/>
      <c r="H118" s="64"/>
      <c r="I118" s="64"/>
      <c r="J118" s="64"/>
      <c r="K118" s="64"/>
      <c r="L118" s="64"/>
      <c r="M118" s="64"/>
      <c r="N118" s="64"/>
      <c r="O118" s="64"/>
      <c r="P118" s="64"/>
      <c r="Q118" s="64"/>
      <c r="R118" s="64"/>
      <c r="S118" s="64"/>
      <c r="T118" s="64"/>
      <c r="U118" s="64"/>
      <c r="V118" s="64"/>
      <c r="W118" s="64"/>
      <c r="X118" s="64"/>
      <c r="Y118" s="64"/>
      <c r="Z118" s="64"/>
      <c r="AA118" s="64"/>
      <c r="AB118" s="64"/>
      <c r="AC118" s="64"/>
      <c r="AD118" s="64"/>
      <c r="AE118" s="64"/>
      <c r="AF118" s="64"/>
      <c r="AG118" s="64"/>
      <c r="AH118" s="64"/>
      <c r="AI118" s="64"/>
      <c r="AJ118" s="64"/>
      <c r="AK118" s="64"/>
      <c r="AL118" s="64"/>
      <c r="AM118" s="64"/>
      <c r="AN118" s="64"/>
    </row>
    <row r="119" spans="1:40" x14ac:dyDescent="0.35">
      <c r="A119" s="64"/>
      <c r="B119" s="64"/>
      <c r="C119" s="64"/>
      <c r="D119" s="64"/>
      <c r="E119" s="64"/>
      <c r="F119" s="64"/>
      <c r="G119" s="64"/>
      <c r="H119" s="64"/>
      <c r="I119" s="64"/>
      <c r="J119" s="64"/>
      <c r="K119" s="64"/>
      <c r="L119" s="64"/>
      <c r="M119" s="64"/>
      <c r="N119" s="64"/>
      <c r="O119" s="64"/>
      <c r="P119" s="64"/>
      <c r="Q119" s="64"/>
      <c r="R119" s="64"/>
      <c r="S119" s="64"/>
      <c r="T119" s="64"/>
      <c r="U119" s="64"/>
      <c r="V119" s="64"/>
      <c r="W119" s="64"/>
      <c r="X119" s="64"/>
      <c r="Y119" s="64"/>
      <c r="Z119" s="64"/>
      <c r="AA119" s="64"/>
      <c r="AB119" s="64"/>
      <c r="AC119" s="64"/>
      <c r="AD119" s="64"/>
      <c r="AE119" s="64"/>
      <c r="AF119" s="64"/>
      <c r="AG119" s="64"/>
      <c r="AH119" s="64"/>
      <c r="AI119" s="64"/>
      <c r="AJ119" s="64"/>
      <c r="AK119" s="64"/>
      <c r="AL119" s="64"/>
      <c r="AM119" s="64"/>
      <c r="AN119" s="64"/>
    </row>
    <row r="120" spans="1:40" x14ac:dyDescent="0.35">
      <c r="A120" s="64"/>
      <c r="B120" s="64"/>
      <c r="C120" s="64"/>
      <c r="D120" s="64"/>
      <c r="E120" s="64"/>
      <c r="F120" s="64"/>
      <c r="G120" s="64"/>
      <c r="H120" s="64"/>
      <c r="I120" s="64"/>
      <c r="J120" s="64"/>
      <c r="K120" s="64"/>
      <c r="L120" s="64"/>
      <c r="M120" s="64"/>
      <c r="N120" s="64"/>
      <c r="O120" s="64"/>
      <c r="P120" s="64"/>
      <c r="Q120" s="64"/>
      <c r="R120" s="64"/>
      <c r="S120" s="64"/>
      <c r="T120" s="64"/>
      <c r="U120" s="64"/>
      <c r="V120" s="64"/>
      <c r="W120" s="64"/>
      <c r="X120" s="64"/>
      <c r="Y120" s="64"/>
      <c r="Z120" s="64"/>
      <c r="AA120" s="64"/>
      <c r="AB120" s="64"/>
      <c r="AC120" s="64"/>
      <c r="AD120" s="64"/>
      <c r="AE120" s="64"/>
      <c r="AF120" s="64"/>
      <c r="AG120" s="64"/>
      <c r="AH120" s="64"/>
      <c r="AI120" s="64"/>
      <c r="AJ120" s="64"/>
      <c r="AK120" s="64"/>
      <c r="AL120" s="64"/>
      <c r="AM120" s="64"/>
      <c r="AN120" s="64"/>
    </row>
    <row r="121" spans="1:40" x14ac:dyDescent="0.35">
      <c r="A121" s="64"/>
      <c r="B121" s="64"/>
      <c r="C121" s="64"/>
      <c r="D121" s="64"/>
      <c r="E121" s="64"/>
      <c r="F121" s="64"/>
      <c r="G121" s="64"/>
      <c r="H121" s="64"/>
      <c r="I121" s="64"/>
      <c r="J121" s="64"/>
      <c r="K121" s="64"/>
      <c r="L121" s="64"/>
      <c r="M121" s="64"/>
      <c r="N121" s="64"/>
      <c r="O121" s="64"/>
      <c r="P121" s="64"/>
      <c r="Q121" s="64"/>
      <c r="R121" s="64"/>
      <c r="S121" s="64"/>
      <c r="T121" s="64"/>
      <c r="U121" s="64"/>
      <c r="V121" s="64"/>
      <c r="W121" s="64"/>
      <c r="X121" s="64"/>
      <c r="Y121" s="64"/>
      <c r="Z121" s="64"/>
      <c r="AA121" s="64"/>
      <c r="AB121" s="64"/>
      <c r="AC121" s="64"/>
      <c r="AD121" s="64"/>
      <c r="AE121" s="64"/>
      <c r="AF121" s="64"/>
      <c r="AG121" s="64"/>
      <c r="AH121" s="64"/>
      <c r="AI121" s="64"/>
      <c r="AJ121" s="64"/>
      <c r="AK121" s="64"/>
      <c r="AL121" s="64"/>
      <c r="AM121" s="64"/>
      <c r="AN121" s="64"/>
    </row>
    <row r="122" spans="1:40" x14ac:dyDescent="0.35">
      <c r="A122" s="64"/>
      <c r="B122" s="64"/>
      <c r="C122" s="64"/>
      <c r="D122" s="64"/>
      <c r="E122" s="64"/>
      <c r="F122" s="64"/>
      <c r="G122" s="64"/>
      <c r="H122" s="64"/>
      <c r="I122" s="64"/>
      <c r="J122" s="64"/>
      <c r="K122" s="64"/>
      <c r="L122" s="64"/>
      <c r="M122" s="64"/>
      <c r="N122" s="64"/>
      <c r="O122" s="64"/>
      <c r="P122" s="64"/>
      <c r="Q122" s="64"/>
      <c r="R122" s="64"/>
      <c r="S122" s="64"/>
      <c r="T122" s="64"/>
      <c r="U122" s="64"/>
      <c r="V122" s="64"/>
      <c r="W122" s="64"/>
      <c r="X122" s="64"/>
      <c r="Y122" s="64"/>
      <c r="Z122" s="64"/>
      <c r="AA122" s="64"/>
      <c r="AB122" s="64"/>
      <c r="AC122" s="64"/>
      <c r="AD122" s="64"/>
      <c r="AE122" s="64"/>
      <c r="AF122" s="64"/>
      <c r="AG122" s="64"/>
      <c r="AH122" s="64"/>
      <c r="AI122" s="64"/>
      <c r="AJ122" s="64"/>
      <c r="AK122" s="64"/>
      <c r="AL122" s="64"/>
      <c r="AM122" s="64"/>
      <c r="AN122" s="64"/>
    </row>
    <row r="123" spans="1:40" x14ac:dyDescent="0.35">
      <c r="A123" s="64"/>
      <c r="B123" s="64"/>
      <c r="C123" s="64"/>
      <c r="D123" s="64"/>
      <c r="E123" s="64"/>
      <c r="F123" s="64"/>
      <c r="G123" s="64"/>
      <c r="H123" s="64"/>
      <c r="I123" s="64"/>
      <c r="J123" s="64"/>
      <c r="K123" s="64"/>
      <c r="L123" s="64"/>
      <c r="M123" s="64"/>
      <c r="N123" s="64"/>
      <c r="O123" s="64"/>
      <c r="P123" s="64"/>
      <c r="Q123" s="64"/>
      <c r="R123" s="64"/>
      <c r="S123" s="64"/>
      <c r="T123" s="64"/>
      <c r="U123" s="64"/>
      <c r="V123" s="64"/>
      <c r="W123" s="64"/>
      <c r="X123" s="64"/>
      <c r="Y123" s="64"/>
      <c r="Z123" s="64"/>
      <c r="AA123" s="64"/>
      <c r="AB123" s="64"/>
      <c r="AC123" s="64"/>
      <c r="AD123" s="64"/>
      <c r="AE123" s="64"/>
      <c r="AF123" s="64"/>
      <c r="AG123" s="64"/>
      <c r="AH123" s="64"/>
      <c r="AI123" s="64"/>
      <c r="AJ123" s="64"/>
      <c r="AK123" s="64"/>
      <c r="AL123" s="64"/>
      <c r="AM123" s="64"/>
      <c r="AN123" s="64"/>
    </row>
    <row r="124" spans="1:40" x14ac:dyDescent="0.35">
      <c r="A124" s="64"/>
      <c r="B124" s="64"/>
      <c r="C124" s="64"/>
      <c r="D124" s="64"/>
      <c r="E124" s="64"/>
      <c r="F124" s="64"/>
      <c r="G124" s="64"/>
      <c r="H124" s="64"/>
      <c r="I124" s="64"/>
      <c r="J124" s="64"/>
      <c r="K124" s="64"/>
      <c r="L124" s="64"/>
      <c r="M124" s="64"/>
      <c r="N124" s="64"/>
      <c r="O124" s="64"/>
      <c r="P124" s="64"/>
      <c r="Q124" s="64"/>
      <c r="R124" s="64"/>
      <c r="S124" s="64"/>
      <c r="T124" s="64"/>
      <c r="U124" s="64"/>
      <c r="V124" s="64"/>
      <c r="W124" s="64"/>
      <c r="X124" s="64"/>
      <c r="Y124" s="64"/>
      <c r="Z124" s="64"/>
      <c r="AA124" s="64"/>
      <c r="AB124" s="64"/>
      <c r="AC124" s="64"/>
      <c r="AD124" s="64"/>
      <c r="AE124" s="64"/>
      <c r="AF124" s="64"/>
      <c r="AG124" s="64"/>
      <c r="AH124" s="64"/>
      <c r="AI124" s="64"/>
      <c r="AJ124" s="64"/>
      <c r="AK124" s="64"/>
      <c r="AL124" s="64"/>
      <c r="AM124" s="64"/>
      <c r="AN124" s="64"/>
    </row>
    <row r="125" spans="1:40" x14ac:dyDescent="0.35">
      <c r="A125" s="64"/>
      <c r="B125" s="64"/>
      <c r="C125" s="64"/>
      <c r="D125" s="64"/>
      <c r="E125" s="64"/>
      <c r="F125" s="64"/>
      <c r="G125" s="64"/>
      <c r="H125" s="64"/>
      <c r="I125" s="64"/>
      <c r="J125" s="64"/>
      <c r="K125" s="64"/>
      <c r="L125" s="64"/>
      <c r="M125" s="64"/>
      <c r="N125" s="64"/>
      <c r="O125" s="64"/>
      <c r="P125" s="64"/>
      <c r="Q125" s="64"/>
      <c r="R125" s="64"/>
      <c r="S125" s="64"/>
      <c r="T125" s="64"/>
      <c r="U125" s="64"/>
      <c r="V125" s="64"/>
      <c r="W125" s="64"/>
      <c r="X125" s="64"/>
      <c r="Y125" s="64"/>
      <c r="Z125" s="64"/>
      <c r="AA125" s="64"/>
      <c r="AB125" s="64"/>
      <c r="AC125" s="64"/>
      <c r="AD125" s="64"/>
      <c r="AE125" s="64"/>
      <c r="AF125" s="64"/>
      <c r="AG125" s="64"/>
      <c r="AH125" s="64"/>
      <c r="AI125" s="64"/>
      <c r="AJ125" s="64"/>
      <c r="AK125" s="64"/>
      <c r="AL125" s="64"/>
      <c r="AM125" s="64"/>
      <c r="AN125" s="64"/>
    </row>
    <row r="126" spans="1:40" x14ac:dyDescent="0.35">
      <c r="A126" s="64"/>
      <c r="B126" s="64"/>
      <c r="C126" s="64"/>
      <c r="D126" s="64"/>
      <c r="E126" s="64"/>
      <c r="F126" s="64"/>
      <c r="G126" s="64"/>
      <c r="H126" s="64"/>
      <c r="I126" s="64"/>
      <c r="J126" s="64"/>
      <c r="K126" s="64"/>
      <c r="L126" s="64"/>
      <c r="M126" s="64"/>
      <c r="N126" s="64"/>
      <c r="O126" s="64"/>
      <c r="P126" s="64"/>
      <c r="Q126" s="64"/>
      <c r="R126" s="64"/>
      <c r="S126" s="64"/>
      <c r="T126" s="64"/>
      <c r="U126" s="64"/>
      <c r="V126" s="64"/>
      <c r="W126" s="64"/>
      <c r="X126" s="64"/>
      <c r="Y126" s="64"/>
      <c r="Z126" s="64"/>
      <c r="AA126" s="64"/>
      <c r="AB126" s="64"/>
      <c r="AC126" s="64"/>
      <c r="AD126" s="64"/>
      <c r="AE126" s="64"/>
      <c r="AF126" s="64"/>
      <c r="AG126" s="64"/>
      <c r="AH126" s="64"/>
      <c r="AI126" s="64"/>
      <c r="AJ126" s="64"/>
      <c r="AK126" s="64"/>
      <c r="AL126" s="64"/>
      <c r="AM126" s="64"/>
      <c r="AN126" s="64"/>
    </row>
    <row r="127" spans="1:40" x14ac:dyDescent="0.35">
      <c r="A127" s="64"/>
      <c r="B127" s="64"/>
      <c r="C127" s="64"/>
      <c r="D127" s="64"/>
      <c r="E127" s="64"/>
      <c r="F127" s="64"/>
      <c r="G127" s="64"/>
      <c r="H127" s="64"/>
      <c r="I127" s="64"/>
      <c r="J127" s="64"/>
      <c r="K127" s="64"/>
      <c r="L127" s="64"/>
      <c r="M127" s="64"/>
      <c r="N127" s="64"/>
      <c r="O127" s="64"/>
      <c r="P127" s="64"/>
      <c r="Q127" s="64"/>
      <c r="R127" s="64"/>
      <c r="S127" s="64"/>
      <c r="T127" s="64"/>
      <c r="U127" s="64"/>
      <c r="V127" s="64"/>
      <c r="W127" s="64"/>
      <c r="X127" s="64"/>
      <c r="Y127" s="64"/>
      <c r="Z127" s="64"/>
      <c r="AA127" s="64"/>
      <c r="AB127" s="64"/>
      <c r="AC127" s="64"/>
      <c r="AD127" s="64"/>
      <c r="AE127" s="64"/>
      <c r="AF127" s="64"/>
      <c r="AG127" s="64"/>
      <c r="AH127" s="64"/>
      <c r="AI127" s="64"/>
      <c r="AJ127" s="64"/>
      <c r="AK127" s="64"/>
      <c r="AL127" s="64"/>
      <c r="AM127" s="64"/>
      <c r="AN127" s="64"/>
    </row>
    <row r="128" spans="1:40" x14ac:dyDescent="0.35">
      <c r="A128" s="64"/>
      <c r="B128" s="64"/>
      <c r="C128" s="64"/>
      <c r="D128" s="64"/>
      <c r="E128" s="64"/>
      <c r="F128" s="64"/>
      <c r="G128" s="64"/>
      <c r="H128" s="64"/>
      <c r="I128" s="64"/>
      <c r="J128" s="64"/>
      <c r="K128" s="64"/>
      <c r="L128" s="64"/>
      <c r="M128" s="64"/>
      <c r="N128" s="64"/>
      <c r="O128" s="64"/>
      <c r="P128" s="64"/>
      <c r="Q128" s="64"/>
      <c r="R128" s="64"/>
      <c r="S128" s="64"/>
      <c r="T128" s="64"/>
      <c r="U128" s="64"/>
      <c r="V128" s="64"/>
      <c r="W128" s="64"/>
      <c r="X128" s="64"/>
      <c r="Y128" s="64"/>
      <c r="Z128" s="64"/>
      <c r="AA128" s="64"/>
      <c r="AB128" s="64"/>
      <c r="AC128" s="64"/>
      <c r="AD128" s="64"/>
      <c r="AE128" s="64"/>
      <c r="AF128" s="64"/>
      <c r="AG128" s="64"/>
      <c r="AH128" s="64"/>
      <c r="AI128" s="64"/>
      <c r="AJ128" s="64"/>
      <c r="AK128" s="64"/>
      <c r="AL128" s="64"/>
      <c r="AM128" s="64"/>
      <c r="AN128" s="64"/>
    </row>
    <row r="129" spans="1:40" x14ac:dyDescent="0.35">
      <c r="A129" s="64"/>
      <c r="B129" s="64"/>
      <c r="C129" s="64"/>
      <c r="D129" s="64"/>
      <c r="E129" s="64"/>
      <c r="F129" s="64"/>
      <c r="G129" s="64"/>
      <c r="H129" s="64"/>
      <c r="I129" s="64"/>
      <c r="J129" s="64"/>
      <c r="K129" s="64"/>
      <c r="L129" s="64"/>
      <c r="M129" s="64"/>
      <c r="N129" s="64"/>
      <c r="O129" s="64"/>
      <c r="P129" s="64"/>
      <c r="Q129" s="64"/>
      <c r="R129" s="64"/>
      <c r="S129" s="64"/>
      <c r="T129" s="64"/>
      <c r="U129" s="64"/>
      <c r="V129" s="64"/>
      <c r="W129" s="64"/>
      <c r="X129" s="64"/>
      <c r="Y129" s="64"/>
      <c r="Z129" s="64"/>
      <c r="AA129" s="64"/>
      <c r="AB129" s="64"/>
      <c r="AC129" s="64"/>
      <c r="AD129" s="64"/>
      <c r="AE129" s="64"/>
      <c r="AF129" s="64"/>
      <c r="AG129" s="64"/>
      <c r="AH129" s="64"/>
      <c r="AI129" s="64"/>
      <c r="AJ129" s="64"/>
      <c r="AK129" s="64"/>
      <c r="AL129" s="64"/>
      <c r="AM129" s="64"/>
      <c r="AN129" s="64"/>
    </row>
    <row r="130" spans="1:40" x14ac:dyDescent="0.35">
      <c r="A130" s="64"/>
      <c r="B130" s="64"/>
      <c r="C130" s="64"/>
      <c r="D130" s="64"/>
      <c r="E130" s="64"/>
      <c r="F130" s="64"/>
      <c r="G130" s="64"/>
      <c r="H130" s="64"/>
      <c r="I130" s="64"/>
      <c r="J130" s="64"/>
      <c r="K130" s="64"/>
      <c r="L130" s="64"/>
      <c r="M130" s="64"/>
      <c r="N130" s="64"/>
      <c r="O130" s="64"/>
      <c r="P130" s="64"/>
      <c r="Q130" s="64"/>
      <c r="R130" s="64"/>
      <c r="S130" s="64"/>
      <c r="T130" s="64"/>
      <c r="U130" s="64"/>
      <c r="V130" s="64"/>
      <c r="W130" s="64"/>
      <c r="X130" s="64"/>
      <c r="Y130" s="64"/>
      <c r="Z130" s="64"/>
      <c r="AA130" s="64"/>
      <c r="AB130" s="64"/>
      <c r="AC130" s="64"/>
      <c r="AD130" s="64"/>
      <c r="AE130" s="64"/>
      <c r="AF130" s="64"/>
      <c r="AG130" s="64"/>
      <c r="AH130" s="64"/>
      <c r="AI130" s="64"/>
      <c r="AJ130" s="64"/>
      <c r="AK130" s="64"/>
      <c r="AL130" s="64"/>
      <c r="AM130" s="64"/>
      <c r="AN130" s="64"/>
    </row>
    <row r="131" spans="1:40" x14ac:dyDescent="0.35">
      <c r="A131" s="64"/>
      <c r="B131" s="64"/>
      <c r="C131" s="64"/>
      <c r="D131" s="64"/>
      <c r="E131" s="64"/>
      <c r="F131" s="64"/>
      <c r="G131" s="64"/>
      <c r="H131" s="64"/>
      <c r="I131" s="64"/>
      <c r="J131" s="64"/>
      <c r="K131" s="64"/>
      <c r="L131" s="64"/>
      <c r="M131" s="64"/>
      <c r="N131" s="64"/>
      <c r="O131" s="64"/>
      <c r="P131" s="64"/>
      <c r="Q131" s="64"/>
      <c r="R131" s="64"/>
      <c r="S131" s="64"/>
      <c r="T131" s="64"/>
      <c r="U131" s="64"/>
      <c r="V131" s="64"/>
      <c r="W131" s="64"/>
      <c r="X131" s="64"/>
      <c r="Y131" s="64"/>
      <c r="Z131" s="64"/>
      <c r="AA131" s="64"/>
      <c r="AB131" s="64"/>
      <c r="AC131" s="64"/>
      <c r="AD131" s="64"/>
      <c r="AE131" s="64"/>
      <c r="AF131" s="64"/>
      <c r="AG131" s="64"/>
      <c r="AH131" s="64"/>
      <c r="AI131" s="64"/>
      <c r="AJ131" s="64"/>
      <c r="AK131" s="64"/>
      <c r="AL131" s="64"/>
      <c r="AM131" s="64"/>
      <c r="AN131" s="64"/>
    </row>
    <row r="132" spans="1:40" x14ac:dyDescent="0.35">
      <c r="A132" s="64"/>
      <c r="B132" s="64"/>
      <c r="C132" s="64"/>
      <c r="D132" s="64"/>
      <c r="E132" s="64"/>
      <c r="F132" s="64"/>
      <c r="G132" s="64"/>
      <c r="H132" s="64"/>
      <c r="I132" s="64"/>
      <c r="J132" s="64"/>
      <c r="K132" s="64"/>
      <c r="L132" s="64"/>
      <c r="M132" s="64"/>
      <c r="N132" s="64"/>
      <c r="O132" s="64"/>
      <c r="P132" s="64"/>
      <c r="Q132" s="64"/>
      <c r="R132" s="64"/>
      <c r="S132" s="64"/>
      <c r="T132" s="64"/>
      <c r="U132" s="64"/>
      <c r="V132" s="64"/>
      <c r="W132" s="64"/>
      <c r="X132" s="64"/>
      <c r="Y132" s="64"/>
      <c r="Z132" s="64"/>
      <c r="AA132" s="64"/>
      <c r="AB132" s="64"/>
      <c r="AC132" s="64"/>
      <c r="AD132" s="64"/>
      <c r="AE132" s="64"/>
      <c r="AF132" s="64"/>
      <c r="AG132" s="64"/>
      <c r="AH132" s="64"/>
      <c r="AI132" s="64"/>
      <c r="AJ132" s="64"/>
      <c r="AK132" s="64"/>
      <c r="AL132" s="64"/>
      <c r="AM132" s="64"/>
      <c r="AN132" s="64"/>
    </row>
    <row r="133" spans="1:40" x14ac:dyDescent="0.35">
      <c r="A133" s="64"/>
      <c r="B133" s="64"/>
      <c r="C133" s="64"/>
      <c r="D133" s="64"/>
      <c r="E133" s="64"/>
      <c r="F133" s="64"/>
      <c r="G133" s="64"/>
      <c r="H133" s="64"/>
      <c r="I133" s="64"/>
      <c r="J133" s="64"/>
      <c r="K133" s="64"/>
      <c r="L133" s="64"/>
      <c r="M133" s="64"/>
      <c r="N133" s="64"/>
      <c r="O133" s="64"/>
      <c r="P133" s="64"/>
      <c r="Q133" s="64"/>
      <c r="R133" s="64"/>
      <c r="S133" s="64"/>
      <c r="T133" s="64"/>
      <c r="U133" s="64"/>
      <c r="V133" s="64"/>
      <c r="W133" s="64"/>
      <c r="X133" s="64"/>
      <c r="Y133" s="64"/>
      <c r="Z133" s="64"/>
      <c r="AA133" s="64"/>
      <c r="AB133" s="64"/>
      <c r="AC133" s="64"/>
      <c r="AD133" s="64"/>
      <c r="AE133" s="64"/>
      <c r="AF133" s="64"/>
      <c r="AG133" s="64"/>
      <c r="AH133" s="64"/>
      <c r="AI133" s="64"/>
      <c r="AJ133" s="64"/>
      <c r="AK133" s="64"/>
      <c r="AL133" s="64"/>
      <c r="AM133" s="64"/>
      <c r="AN133" s="64"/>
    </row>
    <row r="134" spans="1:40" x14ac:dyDescent="0.35">
      <c r="A134" s="64"/>
      <c r="B134" s="64"/>
      <c r="C134" s="64"/>
      <c r="D134" s="64"/>
      <c r="E134" s="64"/>
      <c r="F134" s="64"/>
      <c r="G134" s="64"/>
      <c r="H134" s="64"/>
      <c r="I134" s="64"/>
      <c r="J134" s="64"/>
      <c r="K134" s="64"/>
      <c r="L134" s="64"/>
      <c r="M134" s="64"/>
      <c r="N134" s="64"/>
      <c r="O134" s="64"/>
      <c r="P134" s="64"/>
      <c r="Q134" s="64"/>
      <c r="R134" s="64"/>
      <c r="S134" s="64"/>
      <c r="T134" s="64"/>
      <c r="U134" s="64"/>
      <c r="V134" s="64"/>
      <c r="W134" s="64"/>
      <c r="X134" s="64"/>
      <c r="Y134" s="64"/>
      <c r="Z134" s="64"/>
      <c r="AA134" s="64"/>
      <c r="AB134" s="64"/>
      <c r="AC134" s="64"/>
      <c r="AD134" s="64"/>
      <c r="AE134" s="64"/>
      <c r="AF134" s="64"/>
      <c r="AG134" s="64"/>
      <c r="AH134" s="64"/>
      <c r="AI134" s="64"/>
      <c r="AJ134" s="64"/>
      <c r="AK134" s="64"/>
      <c r="AL134" s="64"/>
      <c r="AM134" s="64"/>
      <c r="AN134" s="64"/>
    </row>
    <row r="135" spans="1:40" x14ac:dyDescent="0.35">
      <c r="A135" s="64"/>
      <c r="B135" s="64"/>
      <c r="C135" s="64"/>
      <c r="D135" s="64"/>
      <c r="E135" s="64"/>
      <c r="F135" s="64"/>
      <c r="G135" s="64"/>
      <c r="H135" s="64"/>
      <c r="I135" s="64"/>
      <c r="J135" s="64"/>
      <c r="K135" s="64"/>
      <c r="L135" s="64"/>
      <c r="M135" s="64"/>
      <c r="N135" s="64"/>
      <c r="O135" s="64"/>
      <c r="P135" s="64"/>
      <c r="Q135" s="64"/>
      <c r="R135" s="64"/>
      <c r="S135" s="64"/>
      <c r="T135" s="64"/>
      <c r="U135" s="64"/>
      <c r="V135" s="64"/>
      <c r="W135" s="64"/>
      <c r="X135" s="64"/>
      <c r="Y135" s="64"/>
      <c r="Z135" s="64"/>
      <c r="AA135" s="64"/>
      <c r="AB135" s="64"/>
      <c r="AC135" s="64"/>
      <c r="AD135" s="64"/>
      <c r="AE135" s="64"/>
      <c r="AF135" s="64"/>
      <c r="AG135" s="64"/>
      <c r="AH135" s="64"/>
      <c r="AI135" s="64"/>
      <c r="AJ135" s="64"/>
      <c r="AK135" s="64"/>
      <c r="AL135" s="64"/>
      <c r="AM135" s="64"/>
      <c r="AN135" s="64"/>
    </row>
    <row r="136" spans="1:40" x14ac:dyDescent="0.35">
      <c r="A136" s="64"/>
      <c r="B136" s="64"/>
      <c r="C136" s="64"/>
      <c r="D136" s="64"/>
      <c r="E136" s="64"/>
      <c r="F136" s="64"/>
      <c r="G136" s="64"/>
      <c r="H136" s="64"/>
      <c r="I136" s="64"/>
      <c r="J136" s="64"/>
      <c r="K136" s="64"/>
      <c r="L136" s="64"/>
      <c r="M136" s="64"/>
      <c r="N136" s="64"/>
      <c r="O136" s="64"/>
      <c r="P136" s="64"/>
      <c r="Q136" s="64"/>
      <c r="R136" s="64"/>
      <c r="S136" s="64"/>
      <c r="T136" s="64"/>
      <c r="U136" s="64"/>
      <c r="V136" s="64"/>
      <c r="W136" s="64"/>
      <c r="X136" s="64"/>
      <c r="Y136" s="64"/>
      <c r="Z136" s="64"/>
      <c r="AA136" s="64"/>
      <c r="AB136" s="64"/>
      <c r="AC136" s="64"/>
      <c r="AD136" s="64"/>
      <c r="AE136" s="64"/>
      <c r="AF136" s="64"/>
      <c r="AG136" s="64"/>
      <c r="AH136" s="64"/>
      <c r="AI136" s="64"/>
      <c r="AJ136" s="64"/>
      <c r="AK136" s="64"/>
      <c r="AL136" s="64"/>
      <c r="AM136" s="64"/>
      <c r="AN136" s="64"/>
    </row>
    <row r="137" spans="1:40" x14ac:dyDescent="0.35">
      <c r="A137" s="64"/>
      <c r="B137" s="64"/>
      <c r="C137" s="64"/>
      <c r="D137" s="64"/>
      <c r="E137" s="64"/>
      <c r="F137" s="64"/>
      <c r="G137" s="64"/>
      <c r="H137" s="64"/>
      <c r="I137" s="64"/>
      <c r="J137" s="64"/>
      <c r="K137" s="64"/>
      <c r="L137" s="64"/>
      <c r="M137" s="64"/>
      <c r="N137" s="64"/>
      <c r="O137" s="64"/>
      <c r="P137" s="64"/>
      <c r="Q137" s="64"/>
      <c r="R137" s="64"/>
      <c r="S137" s="64"/>
      <c r="T137" s="64"/>
      <c r="U137" s="64"/>
      <c r="V137" s="64"/>
      <c r="W137" s="64"/>
      <c r="X137" s="64"/>
      <c r="Y137" s="64"/>
      <c r="Z137" s="64"/>
      <c r="AA137" s="64"/>
      <c r="AB137" s="64"/>
      <c r="AC137" s="64"/>
      <c r="AD137" s="64"/>
      <c r="AE137" s="64"/>
      <c r="AF137" s="64"/>
      <c r="AG137" s="64"/>
      <c r="AH137" s="64"/>
      <c r="AI137" s="64"/>
      <c r="AJ137" s="64"/>
      <c r="AK137" s="64"/>
      <c r="AL137" s="64"/>
      <c r="AM137" s="64"/>
      <c r="AN137" s="64"/>
    </row>
    <row r="138" spans="1:40" x14ac:dyDescent="0.35">
      <c r="A138" s="64"/>
      <c r="B138" s="64"/>
      <c r="C138" s="64"/>
      <c r="D138" s="64"/>
      <c r="E138" s="64"/>
      <c r="F138" s="64"/>
      <c r="G138" s="64"/>
      <c r="H138" s="64"/>
      <c r="I138" s="64"/>
      <c r="J138" s="64"/>
      <c r="K138" s="64"/>
      <c r="L138" s="64"/>
      <c r="M138" s="64"/>
      <c r="N138" s="64"/>
      <c r="O138" s="64"/>
      <c r="P138" s="64"/>
      <c r="Q138" s="64"/>
      <c r="R138" s="64"/>
      <c r="S138" s="64"/>
      <c r="T138" s="64"/>
      <c r="U138" s="64"/>
      <c r="V138" s="64"/>
      <c r="W138" s="64"/>
      <c r="X138" s="64"/>
      <c r="Y138" s="64"/>
      <c r="Z138" s="64"/>
      <c r="AA138" s="64"/>
      <c r="AB138" s="64"/>
      <c r="AC138" s="64"/>
      <c r="AD138" s="64"/>
      <c r="AE138" s="64"/>
      <c r="AF138" s="64"/>
      <c r="AG138" s="64"/>
      <c r="AH138" s="64"/>
      <c r="AI138" s="64"/>
      <c r="AJ138" s="64"/>
      <c r="AK138" s="64"/>
      <c r="AL138" s="64"/>
      <c r="AM138" s="64"/>
      <c r="AN138" s="64"/>
    </row>
    <row r="139" spans="1:40" x14ac:dyDescent="0.35">
      <c r="A139" s="64"/>
      <c r="B139" s="64"/>
      <c r="C139" s="64"/>
      <c r="D139" s="64"/>
      <c r="E139" s="64"/>
      <c r="F139" s="64"/>
      <c r="G139" s="64"/>
      <c r="H139" s="64"/>
      <c r="I139" s="64"/>
      <c r="J139" s="64"/>
      <c r="K139" s="64"/>
      <c r="L139" s="64"/>
      <c r="M139" s="64"/>
      <c r="N139" s="64"/>
      <c r="O139" s="64"/>
      <c r="P139" s="64"/>
      <c r="Q139" s="64"/>
      <c r="R139" s="64"/>
      <c r="S139" s="64"/>
      <c r="T139" s="64"/>
      <c r="U139" s="64"/>
      <c r="V139" s="64"/>
      <c r="W139" s="64"/>
      <c r="X139" s="64"/>
      <c r="Y139" s="64"/>
      <c r="Z139" s="64"/>
      <c r="AA139" s="64"/>
      <c r="AB139" s="64"/>
      <c r="AC139" s="64"/>
      <c r="AD139" s="64"/>
      <c r="AE139" s="64"/>
      <c r="AF139" s="64"/>
      <c r="AG139" s="64"/>
      <c r="AH139" s="64"/>
      <c r="AI139" s="64"/>
      <c r="AJ139" s="64"/>
      <c r="AK139" s="64"/>
      <c r="AL139" s="64"/>
      <c r="AM139" s="64"/>
      <c r="AN139" s="64"/>
    </row>
    <row r="140" spans="1:40" x14ac:dyDescent="0.35">
      <c r="A140" s="64"/>
      <c r="B140" s="64"/>
      <c r="C140" s="64"/>
      <c r="D140" s="64"/>
      <c r="E140" s="64"/>
      <c r="F140" s="64"/>
      <c r="G140" s="64"/>
      <c r="H140" s="64"/>
      <c r="I140" s="64"/>
      <c r="J140" s="64"/>
      <c r="K140" s="64"/>
      <c r="L140" s="64"/>
      <c r="M140" s="64"/>
      <c r="N140" s="64"/>
      <c r="O140" s="64"/>
      <c r="P140" s="64"/>
      <c r="Q140" s="64"/>
      <c r="R140" s="64"/>
      <c r="S140" s="64"/>
      <c r="T140" s="64"/>
      <c r="U140" s="64"/>
      <c r="V140" s="64"/>
      <c r="W140" s="64"/>
      <c r="X140" s="64"/>
      <c r="Y140" s="64"/>
      <c r="Z140" s="64"/>
      <c r="AA140" s="64"/>
      <c r="AB140" s="64"/>
      <c r="AC140" s="64"/>
      <c r="AD140" s="64"/>
      <c r="AE140" s="64"/>
      <c r="AF140" s="64"/>
      <c r="AG140" s="64"/>
      <c r="AH140" s="64"/>
      <c r="AI140" s="64"/>
      <c r="AJ140" s="64"/>
      <c r="AK140" s="64"/>
      <c r="AL140" s="64"/>
      <c r="AM140" s="64"/>
      <c r="AN140" s="64"/>
    </row>
    <row r="141" spans="1:40" x14ac:dyDescent="0.35">
      <c r="A141" s="64"/>
      <c r="B141" s="64"/>
      <c r="C141" s="64"/>
      <c r="D141" s="64"/>
      <c r="E141" s="64"/>
      <c r="F141" s="64"/>
      <c r="G141" s="64"/>
      <c r="H141" s="64"/>
      <c r="I141" s="64"/>
      <c r="J141" s="64"/>
      <c r="K141" s="64"/>
      <c r="L141" s="64"/>
      <c r="M141" s="64"/>
      <c r="N141" s="64"/>
      <c r="O141" s="64"/>
      <c r="P141" s="64"/>
      <c r="Q141" s="64"/>
      <c r="R141" s="64"/>
      <c r="S141" s="64"/>
      <c r="T141" s="64"/>
      <c r="U141" s="64"/>
      <c r="V141" s="64"/>
      <c r="W141" s="64"/>
      <c r="X141" s="64"/>
      <c r="Y141" s="64"/>
      <c r="Z141" s="64"/>
      <c r="AA141" s="64"/>
      <c r="AB141" s="64"/>
      <c r="AC141" s="64"/>
      <c r="AD141" s="64"/>
      <c r="AE141" s="64"/>
      <c r="AF141" s="64"/>
      <c r="AG141" s="64"/>
      <c r="AH141" s="64"/>
      <c r="AI141" s="64"/>
      <c r="AJ141" s="64"/>
      <c r="AK141" s="64"/>
      <c r="AL141" s="64"/>
      <c r="AM141" s="64"/>
      <c r="AN141" s="64"/>
    </row>
    <row r="142" spans="1:40" x14ac:dyDescent="0.35">
      <c r="A142" s="13"/>
      <c r="B142" s="13"/>
      <c r="C142" s="13"/>
      <c r="D142" s="13"/>
      <c r="E142" s="13"/>
      <c r="F142" s="13"/>
      <c r="G142" s="13"/>
      <c r="H142" s="64"/>
      <c r="I142" s="13"/>
      <c r="J142" s="64"/>
      <c r="K142" s="64"/>
      <c r="L142" s="64"/>
      <c r="M142" s="13"/>
      <c r="N142" s="64"/>
      <c r="O142" s="64"/>
      <c r="P142" s="64"/>
      <c r="Q142" s="64"/>
      <c r="R142" s="64"/>
      <c r="S142" s="64"/>
      <c r="T142" s="64"/>
      <c r="U142" s="64"/>
      <c r="V142" s="64"/>
      <c r="W142" s="64"/>
      <c r="X142" s="64"/>
      <c r="Y142" s="64"/>
      <c r="Z142" s="64"/>
      <c r="AA142" s="64"/>
      <c r="AB142" s="64"/>
      <c r="AC142" s="64"/>
      <c r="AD142" s="64"/>
      <c r="AE142" s="64"/>
      <c r="AF142" s="64"/>
      <c r="AG142" s="64"/>
      <c r="AH142" s="64"/>
      <c r="AI142" s="64"/>
      <c r="AJ142" s="64"/>
      <c r="AK142" s="64"/>
      <c r="AL142" s="64"/>
      <c r="AM142" s="64"/>
      <c r="AN142" s="64"/>
    </row>
    <row r="143" spans="1:40" x14ac:dyDescent="0.35">
      <c r="A143" s="1"/>
      <c r="B143" s="1"/>
      <c r="C143" s="1"/>
      <c r="D143" s="1"/>
      <c r="E143" s="1"/>
      <c r="F143" s="1"/>
      <c r="G143" s="1"/>
      <c r="H143" s="64"/>
      <c r="I143" s="13"/>
      <c r="J143" s="64"/>
      <c r="K143" s="64"/>
      <c r="L143" s="64"/>
      <c r="M143" s="1"/>
      <c r="N143" s="64"/>
      <c r="O143" s="64"/>
      <c r="P143" s="64"/>
      <c r="Q143" s="64"/>
      <c r="R143" s="64"/>
      <c r="S143" s="64"/>
      <c r="T143" s="64"/>
      <c r="U143" s="64"/>
      <c r="V143" s="64"/>
      <c r="W143" s="64"/>
      <c r="X143" s="64"/>
      <c r="Y143" s="64"/>
      <c r="Z143" s="64"/>
      <c r="AA143" s="64"/>
      <c r="AB143" s="64"/>
      <c r="AC143" s="64"/>
      <c r="AD143" s="64"/>
      <c r="AE143" s="64"/>
      <c r="AF143" s="64"/>
      <c r="AG143" s="64"/>
      <c r="AH143" s="64"/>
      <c r="AI143" s="64"/>
      <c r="AJ143" s="64"/>
      <c r="AK143" s="64"/>
      <c r="AL143" s="64"/>
      <c r="AM143" s="64"/>
      <c r="AN143" s="64"/>
    </row>
  </sheetData>
  <sheetProtection algorithmName="SHA-512" hashValue="S7l0WlyeuNwTDKAADvd2TVhzN6bmOsCOe7KzTKDutGIHonrINEBfUsZxr1HHrl1xhcCwioLsBYnBJWGzoytPpw==" saltValue="DBJGOofrZfgStVhDLTgaNg==" spinCount="100000" sheet="1" objects="1" scenarios="1"/>
  <protectedRanges>
    <protectedRange sqref="A1 C13:C16 D15:D16" name="Range1"/>
  </protectedRanges>
  <mergeCells count="6">
    <mergeCell ref="B8:E8"/>
    <mergeCell ref="C3:E3"/>
    <mergeCell ref="B4:E4"/>
    <mergeCell ref="B5:E5"/>
    <mergeCell ref="B6:E6"/>
    <mergeCell ref="B7:E7"/>
  </mergeCells>
  <pageMargins left="0.7" right="0.7" top="0.75" bottom="0.75" header="0.3" footer="0.3"/>
  <pageSetup orientation="portrait" r:id="rId1"/>
  <ignoredErrors>
    <ignoredError sqref="H16:I16" emptyCellReference="1"/>
  </ignoredError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900-000001000000}">
          <x14:formula1>
            <xm:f>Assumptions!$T$3:$T$25</xm:f>
          </x14:formula1>
          <xm:sqref>C13</xm:sqref>
        </x14:dataValidation>
        <x14:dataValidation type="list" allowBlank="1" showInputMessage="1" showErrorMessage="1" xr:uid="{00000000-0002-0000-0900-000000000000}">
          <x14:formula1>
            <xm:f>Assumptions!$U$3:$U$4</xm:f>
          </x14:formula1>
          <xm:sqref>D15:D16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3">
    <tabColor theme="6"/>
  </sheetPr>
  <dimension ref="A1:AN150"/>
  <sheetViews>
    <sheetView zoomScaleNormal="100" zoomScalePageLayoutView="80" workbookViewId="0">
      <selection activeCell="B14" sqref="B14:B17"/>
    </sheetView>
  </sheetViews>
  <sheetFormatPr defaultColWidth="8.7265625" defaultRowHeight="14.5" x14ac:dyDescent="0.35"/>
  <cols>
    <col min="1" max="1" width="4.26953125" customWidth="1"/>
    <col min="2" max="2" width="43.7265625" customWidth="1"/>
    <col min="3" max="3" width="11.26953125" customWidth="1"/>
    <col min="4" max="4" width="14.7265625" customWidth="1"/>
    <col min="5" max="5" width="15.26953125" customWidth="1"/>
    <col min="7" max="7" width="12" hidden="1" customWidth="1"/>
    <col min="8" max="8" width="9.7265625" hidden="1" customWidth="1"/>
    <col min="9" max="17" width="8.7265625" hidden="1" customWidth="1"/>
  </cols>
  <sheetData>
    <row r="1" spans="1:40" ht="23.5" x14ac:dyDescent="0.35">
      <c r="A1" s="63" t="s">
        <v>42</v>
      </c>
      <c r="B1" s="64"/>
      <c r="C1" s="64"/>
      <c r="D1" s="64"/>
      <c r="E1" s="64"/>
      <c r="F1" s="66"/>
      <c r="G1" s="66"/>
      <c r="H1" s="64"/>
      <c r="I1" s="64" t="s">
        <v>1</v>
      </c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  <c r="AB1" s="66"/>
      <c r="AC1" s="66"/>
      <c r="AD1" s="66"/>
      <c r="AE1" s="66"/>
      <c r="AF1" s="66"/>
      <c r="AG1" s="66"/>
      <c r="AH1" s="66"/>
      <c r="AI1" s="66"/>
      <c r="AJ1" s="66"/>
      <c r="AK1" s="66"/>
      <c r="AL1" s="66"/>
      <c r="AM1" s="66"/>
      <c r="AN1" s="66"/>
    </row>
    <row r="2" spans="1:40" ht="12.75" customHeight="1" x14ac:dyDescent="0.35">
      <c r="A2" s="63"/>
      <c r="B2" s="64"/>
      <c r="C2" s="64"/>
      <c r="D2" s="64"/>
      <c r="E2" s="64"/>
      <c r="F2" s="66"/>
      <c r="G2" s="66"/>
      <c r="H2" s="64"/>
      <c r="I2" s="64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66"/>
      <c r="AL2" s="66"/>
      <c r="AM2" s="66"/>
      <c r="AN2" s="66"/>
    </row>
    <row r="3" spans="1:40" ht="23.5" x14ac:dyDescent="0.35">
      <c r="A3" s="185"/>
      <c r="B3" s="61" t="s">
        <v>77</v>
      </c>
      <c r="C3" s="549"/>
      <c r="D3" s="549"/>
      <c r="E3" s="549"/>
      <c r="F3" s="184"/>
      <c r="G3" s="66"/>
      <c r="H3" s="64"/>
      <c r="I3" s="64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C3" s="66"/>
      <c r="AD3" s="66"/>
      <c r="AE3" s="66"/>
      <c r="AF3" s="66"/>
      <c r="AG3" s="66"/>
      <c r="AH3" s="66"/>
      <c r="AI3" s="66"/>
      <c r="AJ3" s="66"/>
      <c r="AK3" s="66"/>
      <c r="AL3" s="66"/>
      <c r="AM3" s="66"/>
      <c r="AN3" s="66"/>
    </row>
    <row r="4" spans="1:40" ht="23.5" x14ac:dyDescent="0.35">
      <c r="A4" s="186"/>
      <c r="B4" s="550" t="s">
        <v>78</v>
      </c>
      <c r="C4" s="550"/>
      <c r="D4" s="550"/>
      <c r="E4" s="550"/>
      <c r="F4" s="187"/>
      <c r="G4" s="66"/>
      <c r="H4" s="64"/>
      <c r="I4" s="64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66"/>
      <c r="AI4" s="66"/>
      <c r="AJ4" s="66"/>
      <c r="AK4" s="66"/>
      <c r="AL4" s="66"/>
      <c r="AM4" s="66"/>
      <c r="AN4" s="66"/>
    </row>
    <row r="5" spans="1:40" ht="30" customHeight="1" x14ac:dyDescent="0.35">
      <c r="A5" s="186"/>
      <c r="B5" s="551" t="s">
        <v>79</v>
      </c>
      <c r="C5" s="551"/>
      <c r="D5" s="551"/>
      <c r="E5" s="551"/>
      <c r="F5" s="187"/>
      <c r="G5" s="66"/>
      <c r="H5" s="64"/>
      <c r="I5" s="64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66"/>
      <c r="W5" s="66"/>
      <c r="X5" s="66"/>
      <c r="Y5" s="66"/>
      <c r="Z5" s="66"/>
      <c r="AA5" s="66"/>
      <c r="AB5" s="66"/>
      <c r="AC5" s="66"/>
      <c r="AD5" s="66"/>
      <c r="AE5" s="66"/>
      <c r="AF5" s="66"/>
      <c r="AG5" s="66"/>
      <c r="AH5" s="66"/>
      <c r="AI5" s="66"/>
      <c r="AJ5" s="66"/>
      <c r="AK5" s="66"/>
      <c r="AL5" s="66"/>
      <c r="AM5" s="66"/>
      <c r="AN5" s="66"/>
    </row>
    <row r="6" spans="1:40" ht="29.25" customHeight="1" x14ac:dyDescent="0.35">
      <c r="A6" s="186"/>
      <c r="B6" s="552" t="s">
        <v>80</v>
      </c>
      <c r="C6" s="552"/>
      <c r="D6" s="552"/>
      <c r="E6" s="552"/>
      <c r="F6" s="187"/>
      <c r="G6" s="66"/>
      <c r="H6" s="64"/>
      <c r="I6" s="64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  <c r="AA6" s="66"/>
      <c r="AB6" s="66"/>
      <c r="AC6" s="66"/>
      <c r="AD6" s="66"/>
      <c r="AE6" s="66"/>
      <c r="AF6" s="66"/>
      <c r="AG6" s="66"/>
      <c r="AH6" s="66"/>
      <c r="AI6" s="66"/>
      <c r="AJ6" s="66"/>
      <c r="AK6" s="66"/>
      <c r="AL6" s="66"/>
      <c r="AM6" s="66"/>
      <c r="AN6" s="66"/>
    </row>
    <row r="7" spans="1:40" ht="27" customHeight="1" x14ac:dyDescent="0.35">
      <c r="A7" s="186"/>
      <c r="B7" s="553" t="s">
        <v>81</v>
      </c>
      <c r="C7" s="553"/>
      <c r="D7" s="553"/>
      <c r="E7" s="553"/>
      <c r="F7" s="187"/>
      <c r="G7" s="66"/>
      <c r="H7" s="64"/>
      <c r="I7" s="64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66"/>
      <c r="Y7" s="66"/>
      <c r="Z7" s="66"/>
      <c r="AA7" s="66"/>
      <c r="AB7" s="66"/>
      <c r="AC7" s="66"/>
      <c r="AD7" s="66"/>
      <c r="AE7" s="66"/>
      <c r="AF7" s="66"/>
      <c r="AG7" s="66"/>
      <c r="AH7" s="66"/>
      <c r="AI7" s="66"/>
      <c r="AJ7" s="66"/>
      <c r="AK7" s="66"/>
      <c r="AL7" s="66"/>
      <c r="AM7" s="66"/>
      <c r="AN7" s="66"/>
    </row>
    <row r="8" spans="1:40" ht="23.5" x14ac:dyDescent="0.35">
      <c r="A8" s="186"/>
      <c r="B8" s="548" t="s">
        <v>82</v>
      </c>
      <c r="C8" s="548"/>
      <c r="D8" s="548"/>
      <c r="E8" s="548"/>
      <c r="F8" s="187"/>
      <c r="G8" s="66"/>
      <c r="H8" s="64"/>
      <c r="I8" s="64"/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  <c r="U8" s="66"/>
      <c r="V8" s="66"/>
      <c r="W8" s="66"/>
      <c r="X8" s="66"/>
      <c r="Y8" s="66"/>
      <c r="Z8" s="66"/>
      <c r="AA8" s="66"/>
      <c r="AB8" s="66"/>
      <c r="AC8" s="66"/>
      <c r="AD8" s="66"/>
      <c r="AE8" s="66"/>
      <c r="AF8" s="66"/>
      <c r="AG8" s="66"/>
      <c r="AH8" s="66"/>
      <c r="AI8" s="66"/>
      <c r="AJ8" s="66"/>
      <c r="AK8" s="66"/>
      <c r="AL8" s="66"/>
      <c r="AM8" s="66"/>
      <c r="AN8" s="66"/>
    </row>
    <row r="9" spans="1:40" x14ac:dyDescent="0.35">
      <c r="A9" s="184"/>
      <c r="B9" s="184"/>
      <c r="C9" s="184"/>
      <c r="D9" s="184"/>
      <c r="E9" s="184"/>
      <c r="F9" s="184"/>
      <c r="G9" s="66"/>
      <c r="H9" s="64"/>
      <c r="I9" s="64"/>
      <c r="J9" s="66"/>
      <c r="K9" s="66"/>
      <c r="L9" s="66"/>
      <c r="M9" s="66"/>
      <c r="N9" s="66"/>
      <c r="O9" s="66"/>
      <c r="P9" s="66"/>
      <c r="Q9" s="66"/>
      <c r="R9" s="66"/>
      <c r="S9" s="66"/>
      <c r="T9" s="66"/>
      <c r="U9" s="66"/>
      <c r="V9" s="66"/>
      <c r="W9" s="66"/>
      <c r="X9" s="66"/>
      <c r="Y9" s="66"/>
      <c r="Z9" s="66"/>
      <c r="AA9" s="66"/>
      <c r="AB9" s="66"/>
      <c r="AC9" s="66"/>
      <c r="AD9" s="66"/>
      <c r="AE9" s="66"/>
      <c r="AF9" s="66"/>
      <c r="AG9" s="66"/>
      <c r="AH9" s="66"/>
      <c r="AI9" s="66"/>
      <c r="AJ9" s="66"/>
      <c r="AK9" s="66"/>
      <c r="AL9" s="66"/>
      <c r="AM9" s="66"/>
      <c r="AN9" s="66"/>
    </row>
    <row r="10" spans="1:40" ht="23.5" x14ac:dyDescent="0.35">
      <c r="A10" s="63"/>
      <c r="B10" s="64"/>
      <c r="C10" s="64"/>
      <c r="D10" s="64"/>
      <c r="E10" s="64"/>
      <c r="F10" s="66"/>
      <c r="G10" s="66"/>
      <c r="H10" s="64"/>
      <c r="I10" s="64"/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66"/>
      <c r="V10" s="66"/>
      <c r="W10" s="66"/>
      <c r="X10" s="66"/>
      <c r="Y10" s="66"/>
      <c r="Z10" s="66"/>
      <c r="AA10" s="66"/>
      <c r="AB10" s="66"/>
      <c r="AC10" s="66"/>
      <c r="AD10" s="66"/>
      <c r="AE10" s="66"/>
      <c r="AF10" s="66"/>
      <c r="AG10" s="66"/>
      <c r="AH10" s="66"/>
      <c r="AI10" s="66"/>
      <c r="AJ10" s="66"/>
      <c r="AK10" s="66"/>
      <c r="AL10" s="66"/>
      <c r="AM10" s="66"/>
      <c r="AN10" s="66"/>
    </row>
    <row r="11" spans="1:40" ht="15.5" x14ac:dyDescent="0.35">
      <c r="A11" s="1"/>
      <c r="B11" s="61" t="s">
        <v>83</v>
      </c>
      <c r="C11" s="1"/>
      <c r="D11" s="1"/>
      <c r="E11" s="1"/>
      <c r="F11" s="1"/>
      <c r="G11" s="64"/>
      <c r="H11" s="64"/>
      <c r="I11" s="64"/>
      <c r="J11" s="64"/>
      <c r="K11" s="64"/>
      <c r="L11" s="64"/>
      <c r="M11" s="64"/>
      <c r="N11" s="64"/>
      <c r="O11" s="64"/>
      <c r="P11" s="64"/>
      <c r="Q11" s="64"/>
      <c r="R11" s="64"/>
      <c r="S11" s="64"/>
      <c r="T11" s="64"/>
      <c r="U11" s="64"/>
      <c r="V11" s="64"/>
      <c r="W11" s="64"/>
      <c r="X11" s="64"/>
      <c r="Y11" s="64"/>
      <c r="Z11" s="64"/>
      <c r="AA11" s="64"/>
      <c r="AB11" s="64"/>
      <c r="AC11" s="64"/>
      <c r="AD11" s="64"/>
      <c r="AE11" s="64"/>
      <c r="AF11" s="64"/>
      <c r="AG11" s="64"/>
      <c r="AH11" s="64"/>
      <c r="AI11" s="64"/>
      <c r="AJ11" s="64"/>
      <c r="AK11" s="64"/>
      <c r="AL11" s="64"/>
      <c r="AM11" s="64"/>
      <c r="AN11" s="64"/>
    </row>
    <row r="12" spans="1:40" ht="39.5" x14ac:dyDescent="0.35">
      <c r="A12" s="60"/>
      <c r="B12" s="102" t="s">
        <v>84</v>
      </c>
      <c r="C12" s="102" t="s">
        <v>85</v>
      </c>
      <c r="D12" s="102" t="s">
        <v>86</v>
      </c>
      <c r="E12" s="102" t="s">
        <v>87</v>
      </c>
      <c r="F12" s="1"/>
      <c r="G12" s="115" t="s">
        <v>88</v>
      </c>
      <c r="H12" s="115" t="s">
        <v>89</v>
      </c>
      <c r="I12" s="115" t="s">
        <v>90</v>
      </c>
      <c r="J12" s="64"/>
      <c r="K12" s="64"/>
      <c r="L12" s="64"/>
      <c r="M12" s="64"/>
      <c r="N12" s="64"/>
      <c r="O12" s="64"/>
      <c r="P12" s="64"/>
      <c r="Q12" s="64"/>
      <c r="R12" s="64"/>
      <c r="S12" s="64"/>
      <c r="T12" s="64"/>
      <c r="U12" s="64"/>
      <c r="V12" s="64"/>
      <c r="W12" s="64"/>
      <c r="X12" s="64"/>
      <c r="Y12" s="64"/>
      <c r="Z12" s="64"/>
      <c r="AA12" s="64"/>
      <c r="AB12" s="64"/>
      <c r="AC12" s="64"/>
      <c r="AD12" s="64"/>
      <c r="AE12" s="64"/>
      <c r="AF12" s="64"/>
      <c r="AG12" s="64"/>
      <c r="AH12" s="64"/>
      <c r="AI12" s="64"/>
      <c r="AJ12" s="64"/>
      <c r="AK12" s="64"/>
      <c r="AL12" s="64"/>
      <c r="AM12" s="64"/>
      <c r="AN12" s="64"/>
    </row>
    <row r="13" spans="1:40" x14ac:dyDescent="0.35">
      <c r="A13" s="60"/>
      <c r="B13" s="105" t="s">
        <v>91</v>
      </c>
      <c r="C13" s="509"/>
      <c r="D13" s="510"/>
      <c r="E13" s="106"/>
      <c r="F13" s="1"/>
      <c r="G13" s="64"/>
      <c r="H13" s="117">
        <f>C13</f>
        <v>0</v>
      </c>
      <c r="I13" s="64"/>
      <c r="J13" s="64"/>
      <c r="K13" s="64"/>
      <c r="L13" s="64"/>
      <c r="M13" s="64"/>
      <c r="N13" s="64"/>
      <c r="O13" s="64"/>
      <c r="P13" s="64"/>
      <c r="Q13" s="64"/>
      <c r="R13" s="64"/>
      <c r="S13" s="64"/>
      <c r="T13" s="64"/>
      <c r="U13" s="64"/>
      <c r="V13" s="64"/>
      <c r="W13" s="64"/>
      <c r="X13" s="64"/>
      <c r="Y13" s="64"/>
      <c r="Z13" s="64"/>
      <c r="AA13" s="64"/>
      <c r="AB13" s="64"/>
      <c r="AC13" s="64"/>
      <c r="AD13" s="64"/>
      <c r="AE13" s="64"/>
      <c r="AF13" s="64"/>
      <c r="AG13" s="64"/>
      <c r="AH13" s="64"/>
      <c r="AI13" s="64"/>
      <c r="AJ13" s="64"/>
      <c r="AK13" s="64"/>
      <c r="AL13" s="64"/>
      <c r="AM13" s="64"/>
      <c r="AN13" s="64"/>
    </row>
    <row r="14" spans="1:40" x14ac:dyDescent="0.35">
      <c r="A14" s="60"/>
      <c r="B14" s="105" t="s">
        <v>236</v>
      </c>
      <c r="C14" s="527"/>
      <c r="D14" s="510"/>
      <c r="E14" s="106"/>
      <c r="F14" s="1"/>
      <c r="G14" s="64"/>
      <c r="H14" s="117">
        <f t="shared" ref="H14:H15" si="0">C14</f>
        <v>0</v>
      </c>
      <c r="I14" s="64"/>
      <c r="J14" s="64"/>
      <c r="K14" s="64"/>
      <c r="L14" s="64"/>
      <c r="M14" s="64"/>
      <c r="N14" s="64"/>
      <c r="O14" s="64"/>
      <c r="P14" s="64"/>
      <c r="Q14" s="64"/>
      <c r="R14" s="64"/>
      <c r="S14" s="64"/>
      <c r="T14" s="64"/>
      <c r="U14" s="64"/>
      <c r="V14" s="64"/>
      <c r="W14" s="64"/>
      <c r="X14" s="64"/>
      <c r="Y14" s="64"/>
      <c r="Z14" s="64"/>
      <c r="AA14" s="64"/>
      <c r="AB14" s="64"/>
      <c r="AC14" s="64"/>
      <c r="AD14" s="64"/>
      <c r="AE14" s="64"/>
      <c r="AF14" s="64"/>
      <c r="AG14" s="64"/>
      <c r="AH14" s="64"/>
      <c r="AI14" s="64"/>
      <c r="AJ14" s="64"/>
      <c r="AK14" s="64"/>
      <c r="AL14" s="64"/>
      <c r="AM14" s="64"/>
      <c r="AN14" s="64"/>
    </row>
    <row r="15" spans="1:40" x14ac:dyDescent="0.35">
      <c r="A15" s="60"/>
      <c r="B15" s="105" t="s">
        <v>237</v>
      </c>
      <c r="C15" s="521"/>
      <c r="D15" s="510"/>
      <c r="E15" s="106"/>
      <c r="F15" s="1"/>
      <c r="G15" s="64"/>
      <c r="H15" s="117">
        <f t="shared" si="0"/>
        <v>0</v>
      </c>
      <c r="I15" s="64"/>
      <c r="J15" s="64"/>
      <c r="K15" s="64"/>
      <c r="L15" s="64"/>
      <c r="M15" s="64"/>
      <c r="N15" s="64"/>
      <c r="O15" s="64"/>
      <c r="P15" s="64"/>
      <c r="Q15" s="64"/>
      <c r="R15" s="64"/>
      <c r="S15" s="64"/>
      <c r="T15" s="64"/>
      <c r="U15" s="64"/>
      <c r="V15" s="64"/>
      <c r="W15" s="64"/>
      <c r="X15" s="64"/>
      <c r="Y15" s="64"/>
      <c r="Z15" s="64"/>
      <c r="AA15" s="64"/>
      <c r="AB15" s="64"/>
      <c r="AC15" s="64"/>
      <c r="AD15" s="64"/>
      <c r="AE15" s="64"/>
      <c r="AF15" s="64"/>
      <c r="AG15" s="64"/>
      <c r="AH15" s="64"/>
      <c r="AI15" s="64"/>
      <c r="AJ15" s="64"/>
      <c r="AK15" s="64"/>
      <c r="AL15" s="64"/>
      <c r="AM15" s="64"/>
      <c r="AN15" s="64"/>
    </row>
    <row r="16" spans="1:40" x14ac:dyDescent="0.35">
      <c r="A16" s="60"/>
      <c r="B16" s="105" t="s">
        <v>238</v>
      </c>
      <c r="C16" s="536"/>
      <c r="D16" s="513" t="s">
        <v>94</v>
      </c>
      <c r="E16" s="301">
        <f t="shared" ref="E16" si="1">IF(D16="Yes",G16," ")</f>
        <v>6.52</v>
      </c>
      <c r="F16" s="1"/>
      <c r="G16" s="118">
        <f>Assumptions!$D$114</f>
        <v>6.52</v>
      </c>
      <c r="H16" s="118">
        <f t="shared" ref="H16" si="2">IF(D16="Yes",E16,C16)</f>
        <v>6.52</v>
      </c>
      <c r="I16" s="166">
        <f>IF(AND(D16="No",ISBLANK(C16)),1,IF(D16="Yes",IF(E16=0,1,0),0))</f>
        <v>0</v>
      </c>
      <c r="J16" s="64"/>
      <c r="K16" s="64"/>
      <c r="L16" s="64"/>
      <c r="M16" s="64"/>
      <c r="N16" s="64"/>
      <c r="O16" s="64"/>
      <c r="P16" s="64"/>
      <c r="Q16" s="64"/>
      <c r="R16" s="64"/>
      <c r="S16" s="64"/>
      <c r="T16" s="64"/>
      <c r="U16" s="64"/>
      <c r="V16" s="64"/>
      <c r="W16" s="64"/>
      <c r="X16" s="64"/>
      <c r="Y16" s="64"/>
      <c r="Z16" s="64"/>
      <c r="AA16" s="64"/>
      <c r="AB16" s="64"/>
      <c r="AC16" s="64"/>
      <c r="AD16" s="64"/>
      <c r="AE16" s="64"/>
      <c r="AF16" s="64"/>
      <c r="AG16" s="64"/>
      <c r="AH16" s="64"/>
      <c r="AI16" s="64"/>
      <c r="AJ16" s="64"/>
      <c r="AK16" s="64"/>
      <c r="AL16" s="64"/>
      <c r="AM16" s="64"/>
      <c r="AN16" s="64"/>
    </row>
    <row r="17" spans="1:40" ht="26" x14ac:dyDescent="0.35">
      <c r="A17" s="60"/>
      <c r="B17" s="106" t="s">
        <v>239</v>
      </c>
      <c r="C17" s="521"/>
      <c r="D17" s="537"/>
      <c r="E17" s="508"/>
      <c r="F17" s="1"/>
      <c r="G17" s="118"/>
      <c r="H17" s="117">
        <f>IF(C17= "Yes",1,0)</f>
        <v>0</v>
      </c>
      <c r="I17" s="166"/>
      <c r="J17" s="64"/>
      <c r="K17" s="64"/>
      <c r="L17" s="64"/>
      <c r="M17" s="64"/>
      <c r="N17" s="64"/>
      <c r="O17" s="64"/>
      <c r="P17" s="64"/>
      <c r="Q17" s="64"/>
      <c r="R17" s="64"/>
      <c r="S17" s="64"/>
      <c r="T17" s="64"/>
      <c r="U17" s="64"/>
      <c r="V17" s="64"/>
      <c r="W17" s="64"/>
      <c r="X17" s="64"/>
      <c r="Y17" s="64"/>
      <c r="Z17" s="64"/>
      <c r="AA17" s="64"/>
      <c r="AB17" s="64"/>
      <c r="AC17" s="64"/>
      <c r="AD17" s="64"/>
      <c r="AE17" s="64"/>
      <c r="AF17" s="64"/>
      <c r="AG17" s="64"/>
      <c r="AH17" s="64"/>
      <c r="AI17" s="64"/>
      <c r="AJ17" s="64"/>
      <c r="AK17" s="64"/>
      <c r="AL17" s="64"/>
      <c r="AM17" s="64"/>
      <c r="AN17" s="64"/>
    </row>
    <row r="18" spans="1:40" x14ac:dyDescent="0.35">
      <c r="A18" s="60"/>
      <c r="B18" s="100"/>
      <c r="C18" s="101"/>
      <c r="D18" s="101"/>
      <c r="E18" s="101"/>
      <c r="F18" s="1"/>
      <c r="G18" s="64"/>
      <c r="H18" s="104"/>
      <c r="I18" s="64"/>
      <c r="J18" s="64"/>
      <c r="K18" s="64"/>
      <c r="L18" s="64"/>
      <c r="M18" s="64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  <c r="Y18" s="64"/>
      <c r="Z18" s="64"/>
      <c r="AA18" s="64"/>
      <c r="AB18" s="64"/>
      <c r="AC18" s="64"/>
      <c r="AD18" s="64"/>
      <c r="AE18" s="64"/>
      <c r="AF18" s="64"/>
      <c r="AG18" s="64"/>
      <c r="AH18" s="64"/>
      <c r="AI18" s="64"/>
      <c r="AJ18" s="64"/>
      <c r="AK18" s="64"/>
      <c r="AL18" s="64"/>
      <c r="AM18" s="64"/>
      <c r="AN18" s="64"/>
    </row>
    <row r="19" spans="1:40" x14ac:dyDescent="0.35">
      <c r="A19" s="65"/>
      <c r="B19" s="103"/>
      <c r="C19" s="104"/>
      <c r="D19" s="104"/>
      <c r="E19" s="104"/>
      <c r="F19" s="64"/>
      <c r="G19" s="64"/>
      <c r="H19" s="104"/>
      <c r="I19" s="64"/>
      <c r="J19" s="64"/>
      <c r="K19" s="64"/>
      <c r="L19" s="64"/>
      <c r="M19" s="64"/>
      <c r="N19" s="64"/>
      <c r="O19" s="64"/>
      <c r="P19" s="64"/>
      <c r="Q19" s="64"/>
      <c r="R19" s="64"/>
      <c r="S19" s="64"/>
      <c r="T19" s="64"/>
      <c r="U19" s="64"/>
      <c r="V19" s="64"/>
      <c r="W19" s="64"/>
      <c r="X19" s="64"/>
      <c r="Y19" s="64"/>
      <c r="Z19" s="64"/>
      <c r="AA19" s="64"/>
      <c r="AB19" s="64"/>
      <c r="AC19" s="64"/>
      <c r="AD19" s="64"/>
      <c r="AE19" s="64"/>
      <c r="AF19" s="64"/>
      <c r="AG19" s="64"/>
      <c r="AH19" s="64"/>
      <c r="AI19" s="64"/>
      <c r="AJ19" s="64"/>
      <c r="AK19" s="64"/>
      <c r="AL19" s="64"/>
      <c r="AM19" s="64"/>
      <c r="AN19" s="64"/>
    </row>
    <row r="20" spans="1:40" ht="15.5" x14ac:dyDescent="0.35">
      <c r="A20" s="60"/>
      <c r="B20" s="61" t="s">
        <v>96</v>
      </c>
      <c r="C20" s="1"/>
      <c r="D20" s="1"/>
      <c r="E20" s="1"/>
      <c r="F20" s="1"/>
      <c r="G20" s="64"/>
      <c r="H20" s="64"/>
      <c r="I20" s="64"/>
      <c r="J20" s="64"/>
      <c r="K20" s="64"/>
      <c r="L20" s="64"/>
      <c r="M20" s="64"/>
      <c r="N20" s="64"/>
      <c r="O20" s="64"/>
      <c r="P20" s="64"/>
      <c r="Q20" s="64"/>
      <c r="R20" s="64"/>
      <c r="S20" s="64"/>
      <c r="T20" s="64"/>
      <c r="U20" s="64"/>
      <c r="V20" s="64"/>
      <c r="W20" s="64"/>
      <c r="X20" s="64"/>
      <c r="Y20" s="64"/>
      <c r="Z20" s="64"/>
      <c r="AA20" s="64"/>
      <c r="AB20" s="64"/>
      <c r="AC20" s="64"/>
      <c r="AD20" s="64"/>
      <c r="AE20" s="64"/>
      <c r="AF20" s="64"/>
      <c r="AG20" s="64"/>
      <c r="AH20" s="64"/>
      <c r="AI20" s="64"/>
      <c r="AJ20" s="64"/>
      <c r="AK20" s="64"/>
      <c r="AL20" s="64"/>
      <c r="AM20" s="64"/>
      <c r="AN20" s="64"/>
    </row>
    <row r="21" spans="1:40" x14ac:dyDescent="0.35">
      <c r="A21" s="60"/>
      <c r="B21" s="1"/>
      <c r="C21" s="1"/>
      <c r="D21" s="1"/>
      <c r="E21" s="1"/>
      <c r="F21" s="1"/>
      <c r="G21" s="64"/>
      <c r="H21" s="64"/>
      <c r="I21" s="64"/>
      <c r="J21" s="64"/>
      <c r="K21" s="64"/>
      <c r="L21" s="64"/>
      <c r="M21" s="64"/>
      <c r="N21" s="64"/>
      <c r="O21" s="64"/>
      <c r="P21" s="64"/>
      <c r="Q21" s="64"/>
      <c r="R21" s="64"/>
      <c r="S21" s="64"/>
      <c r="T21" s="64"/>
      <c r="U21" s="64"/>
      <c r="V21" s="64"/>
      <c r="W21" s="64"/>
      <c r="X21" s="64"/>
      <c r="Y21" s="64"/>
      <c r="Z21" s="64"/>
      <c r="AA21" s="64"/>
      <c r="AB21" s="64"/>
      <c r="AC21" s="64"/>
      <c r="AD21" s="64"/>
      <c r="AE21" s="64"/>
      <c r="AF21" s="64"/>
      <c r="AG21" s="64"/>
      <c r="AH21" s="64"/>
      <c r="AI21" s="64"/>
      <c r="AJ21" s="64"/>
      <c r="AK21" s="64"/>
      <c r="AL21" s="64"/>
      <c r="AM21" s="64"/>
      <c r="AN21" s="64"/>
    </row>
    <row r="22" spans="1:40" x14ac:dyDescent="0.35">
      <c r="A22" s="60"/>
      <c r="B22" s="102" t="s">
        <v>84</v>
      </c>
      <c r="C22" s="102" t="s">
        <v>85</v>
      </c>
      <c r="D22" s="1"/>
      <c r="E22" s="1"/>
      <c r="F22" s="1"/>
      <c r="G22" s="64"/>
      <c r="H22" s="115"/>
      <c r="I22" s="64"/>
      <c r="J22" s="64"/>
      <c r="K22" s="64"/>
      <c r="L22" s="64"/>
      <c r="M22" s="64"/>
      <c r="N22" s="64"/>
      <c r="O22" s="64"/>
      <c r="P22" s="64"/>
      <c r="Q22" s="64"/>
      <c r="R22" s="64"/>
      <c r="S22" s="64"/>
      <c r="T22" s="64"/>
      <c r="U22" s="64"/>
      <c r="V22" s="64"/>
      <c r="W22" s="64"/>
      <c r="X22" s="64"/>
      <c r="Y22" s="64"/>
      <c r="Z22" s="64"/>
      <c r="AA22" s="64"/>
      <c r="AB22" s="64"/>
      <c r="AC22" s="64"/>
      <c r="AD22" s="64"/>
      <c r="AE22" s="64"/>
      <c r="AF22" s="64"/>
      <c r="AG22" s="64"/>
      <c r="AH22" s="64"/>
      <c r="AI22" s="64"/>
      <c r="AJ22" s="64"/>
      <c r="AK22" s="64"/>
      <c r="AL22" s="64"/>
      <c r="AM22" s="64"/>
      <c r="AN22" s="64"/>
    </row>
    <row r="23" spans="1:40" x14ac:dyDescent="0.35">
      <c r="A23" s="60"/>
      <c r="B23" s="105" t="s">
        <v>97</v>
      </c>
      <c r="C23" s="200">
        <f>Assumptions!$D$113</f>
        <v>1.32</v>
      </c>
      <c r="D23" s="1"/>
      <c r="E23" s="1"/>
      <c r="F23" s="1"/>
      <c r="G23" s="143"/>
      <c r="H23" s="124">
        <f>C23</f>
        <v>1.32</v>
      </c>
      <c r="I23" s="64"/>
      <c r="J23" s="64"/>
      <c r="K23" s="64"/>
      <c r="L23" s="64"/>
      <c r="M23" s="64"/>
      <c r="N23" s="64"/>
      <c r="O23" s="64"/>
      <c r="P23" s="64"/>
      <c r="Q23" s="64"/>
      <c r="R23" s="64"/>
      <c r="S23" s="64"/>
      <c r="T23" s="64"/>
      <c r="U23" s="64"/>
      <c r="V23" s="64"/>
      <c r="W23" s="64"/>
      <c r="X23" s="64"/>
      <c r="Y23" s="64"/>
      <c r="Z23" s="64"/>
      <c r="AA23" s="64"/>
      <c r="AB23" s="64"/>
      <c r="AC23" s="64"/>
      <c r="AD23" s="64"/>
      <c r="AE23" s="64"/>
      <c r="AF23" s="64"/>
      <c r="AG23" s="64"/>
      <c r="AH23" s="64"/>
      <c r="AI23" s="64"/>
      <c r="AJ23" s="64"/>
      <c r="AK23" s="64"/>
      <c r="AL23" s="64"/>
      <c r="AM23" s="64"/>
      <c r="AN23" s="64"/>
    </row>
    <row r="24" spans="1:40" x14ac:dyDescent="0.35">
      <c r="A24" s="60"/>
      <c r="B24" s="105" t="s">
        <v>158</v>
      </c>
      <c r="C24" s="300">
        <f>Assumptions!$D$116</f>
        <v>2</v>
      </c>
      <c r="D24" s="1"/>
      <c r="E24" s="1"/>
      <c r="F24" s="1"/>
      <c r="G24" s="143"/>
      <c r="H24" s="125">
        <f>C24</f>
        <v>2</v>
      </c>
      <c r="I24" s="64"/>
      <c r="J24" s="64"/>
      <c r="K24" s="64"/>
      <c r="L24" s="64"/>
      <c r="M24" s="64"/>
      <c r="N24" s="64"/>
      <c r="O24" s="64"/>
      <c r="P24" s="64"/>
      <c r="Q24" s="64"/>
      <c r="R24" s="64"/>
      <c r="S24" s="64"/>
      <c r="T24" s="64"/>
      <c r="U24" s="64"/>
      <c r="V24" s="64"/>
      <c r="W24" s="64"/>
      <c r="X24" s="64"/>
      <c r="Y24" s="64"/>
      <c r="Z24" s="64"/>
      <c r="AA24" s="64"/>
      <c r="AB24" s="64"/>
      <c r="AC24" s="64"/>
      <c r="AD24" s="64"/>
      <c r="AE24" s="64"/>
      <c r="AF24" s="64"/>
      <c r="AG24" s="64"/>
      <c r="AH24" s="64"/>
      <c r="AI24" s="64"/>
      <c r="AJ24" s="64"/>
      <c r="AK24" s="64"/>
      <c r="AL24" s="64"/>
      <c r="AM24" s="64"/>
      <c r="AN24" s="64"/>
    </row>
    <row r="25" spans="1:40" x14ac:dyDescent="0.35">
      <c r="A25" s="60"/>
      <c r="B25" s="105" t="s">
        <v>240</v>
      </c>
      <c r="C25" s="300">
        <f>C24*C15*C14</f>
        <v>0</v>
      </c>
      <c r="D25" s="1"/>
      <c r="E25" s="1"/>
      <c r="F25" s="1"/>
      <c r="G25" s="143"/>
      <c r="H25" s="125">
        <f>C25</f>
        <v>0</v>
      </c>
      <c r="I25" s="64"/>
      <c r="J25" s="64"/>
      <c r="K25" s="64"/>
      <c r="L25" s="64"/>
      <c r="M25" s="64"/>
      <c r="N25" s="64"/>
      <c r="O25" s="64"/>
      <c r="P25" s="64"/>
      <c r="Q25" s="64"/>
      <c r="R25" s="64"/>
      <c r="S25" s="64"/>
      <c r="T25" s="64"/>
      <c r="U25" s="64"/>
      <c r="V25" s="64"/>
      <c r="W25" s="64"/>
      <c r="X25" s="64"/>
      <c r="Y25" s="64"/>
      <c r="Z25" s="64"/>
      <c r="AA25" s="64"/>
      <c r="AB25" s="64"/>
      <c r="AC25" s="64"/>
      <c r="AD25" s="64"/>
      <c r="AE25" s="64"/>
      <c r="AF25" s="64"/>
      <c r="AG25" s="64"/>
      <c r="AH25" s="64"/>
      <c r="AI25" s="64"/>
      <c r="AJ25" s="64"/>
      <c r="AK25" s="64"/>
      <c r="AL25" s="64"/>
      <c r="AM25" s="64"/>
      <c r="AN25" s="64"/>
    </row>
    <row r="26" spans="1:40" x14ac:dyDescent="0.35">
      <c r="A26" s="1"/>
      <c r="B26" s="44"/>
      <c r="C26" s="62"/>
      <c r="D26" s="1"/>
      <c r="E26" s="1"/>
      <c r="F26" s="1"/>
      <c r="G26" s="64"/>
      <c r="H26" s="116"/>
      <c r="I26" s="64"/>
      <c r="J26" s="64"/>
      <c r="K26" s="64"/>
      <c r="L26" s="64"/>
      <c r="M26" s="64"/>
      <c r="N26" s="64"/>
      <c r="O26" s="64"/>
      <c r="P26" s="64"/>
      <c r="Q26" s="64"/>
      <c r="R26" s="64"/>
      <c r="S26" s="64"/>
      <c r="T26" s="64"/>
      <c r="U26" s="64"/>
      <c r="V26" s="64"/>
      <c r="W26" s="64"/>
      <c r="X26" s="64"/>
      <c r="Y26" s="64"/>
      <c r="Z26" s="64"/>
      <c r="AA26" s="64"/>
      <c r="AB26" s="64"/>
      <c r="AC26" s="64"/>
      <c r="AD26" s="64"/>
      <c r="AE26" s="64"/>
      <c r="AF26" s="64"/>
      <c r="AG26" s="64"/>
      <c r="AH26" s="64"/>
      <c r="AI26" s="64"/>
      <c r="AJ26" s="64"/>
      <c r="AK26" s="64"/>
      <c r="AL26" s="64"/>
      <c r="AM26" s="64"/>
      <c r="AN26" s="64"/>
    </row>
    <row r="27" spans="1:40" x14ac:dyDescent="0.35">
      <c r="A27" s="64"/>
      <c r="B27" s="64"/>
      <c r="C27" s="64"/>
      <c r="D27" s="64"/>
      <c r="E27" s="64"/>
      <c r="F27" s="64"/>
      <c r="G27" s="64"/>
      <c r="H27" s="64"/>
      <c r="I27" s="64"/>
      <c r="J27" s="64"/>
      <c r="K27" s="64"/>
      <c r="L27" s="64"/>
      <c r="M27" s="64"/>
      <c r="N27" s="64"/>
      <c r="O27" s="64"/>
      <c r="P27" s="64"/>
      <c r="Q27" s="64"/>
      <c r="R27" s="64"/>
      <c r="S27" s="64"/>
      <c r="T27" s="64"/>
      <c r="U27" s="64"/>
      <c r="V27" s="64"/>
      <c r="W27" s="64"/>
      <c r="X27" s="64"/>
      <c r="Y27" s="64"/>
      <c r="Z27" s="64"/>
      <c r="AA27" s="64"/>
      <c r="AB27" s="64"/>
      <c r="AC27" s="64"/>
      <c r="AD27" s="64"/>
      <c r="AE27" s="64"/>
      <c r="AF27" s="64"/>
      <c r="AG27" s="64"/>
      <c r="AH27" s="64"/>
      <c r="AI27" s="64"/>
      <c r="AJ27" s="64"/>
      <c r="AK27" s="64"/>
      <c r="AL27" s="64"/>
      <c r="AM27" s="64"/>
      <c r="AN27" s="64"/>
    </row>
    <row r="28" spans="1:40" ht="15.5" x14ac:dyDescent="0.35">
      <c r="A28" s="1"/>
      <c r="B28" s="61" t="s">
        <v>99</v>
      </c>
      <c r="C28" s="1"/>
      <c r="D28" s="1"/>
      <c r="E28" s="1"/>
      <c r="F28" s="1"/>
      <c r="G28" s="64"/>
      <c r="H28" s="64"/>
      <c r="I28" s="64"/>
      <c r="J28" s="64"/>
      <c r="K28" s="64"/>
      <c r="L28" s="64"/>
      <c r="M28" s="64"/>
      <c r="N28" s="64"/>
      <c r="O28" s="64"/>
      <c r="P28" s="64"/>
      <c r="Q28" s="64"/>
      <c r="R28" s="64"/>
      <c r="S28" s="64"/>
      <c r="T28" s="64"/>
      <c r="U28" s="64"/>
      <c r="V28" s="64"/>
      <c r="W28" s="64"/>
      <c r="X28" s="64"/>
      <c r="Y28" s="64"/>
      <c r="Z28" s="64"/>
      <c r="AA28" s="64"/>
      <c r="AB28" s="64"/>
      <c r="AC28" s="64"/>
      <c r="AD28" s="64"/>
      <c r="AE28" s="64"/>
      <c r="AF28" s="64"/>
      <c r="AG28" s="64"/>
      <c r="AH28" s="64"/>
      <c r="AI28" s="64"/>
      <c r="AJ28" s="64"/>
      <c r="AK28" s="64"/>
      <c r="AL28" s="64"/>
      <c r="AM28" s="64"/>
      <c r="AN28" s="64"/>
    </row>
    <row r="29" spans="1:40" x14ac:dyDescent="0.35">
      <c r="A29" s="1"/>
      <c r="B29" s="1"/>
      <c r="C29" s="1"/>
      <c r="D29" s="1"/>
      <c r="E29" s="1"/>
      <c r="F29" s="1"/>
      <c r="G29" s="64"/>
      <c r="H29" s="64"/>
      <c r="I29" s="64"/>
      <c r="J29" s="64"/>
      <c r="K29" s="64" t="s">
        <v>128</v>
      </c>
      <c r="L29" s="64"/>
      <c r="M29" s="64"/>
      <c r="N29" s="64"/>
      <c r="O29" s="64"/>
      <c r="P29" s="64"/>
      <c r="Q29" s="64"/>
      <c r="R29" s="64"/>
      <c r="S29" s="64"/>
      <c r="T29" s="64"/>
      <c r="U29" s="64"/>
      <c r="V29" s="64"/>
      <c r="W29" s="64"/>
      <c r="X29" s="64"/>
      <c r="Y29" s="64"/>
      <c r="Z29" s="64"/>
      <c r="AA29" s="64"/>
      <c r="AB29" s="64"/>
      <c r="AC29" s="64"/>
      <c r="AD29" s="64"/>
      <c r="AE29" s="64"/>
      <c r="AF29" s="64"/>
      <c r="AG29" s="64"/>
      <c r="AH29" s="64"/>
      <c r="AI29" s="64"/>
      <c r="AJ29" s="64"/>
      <c r="AK29" s="64"/>
      <c r="AL29" s="64"/>
      <c r="AM29" s="64"/>
      <c r="AN29" s="64"/>
    </row>
    <row r="30" spans="1:40" ht="26.5" x14ac:dyDescent="0.35">
      <c r="A30" s="1"/>
      <c r="B30" s="102" t="s">
        <v>84</v>
      </c>
      <c r="C30" s="102" t="s">
        <v>85</v>
      </c>
      <c r="D30" s="1"/>
      <c r="E30" s="1"/>
      <c r="F30" s="1"/>
      <c r="G30" s="64"/>
      <c r="H30" s="115"/>
      <c r="I30" s="64"/>
      <c r="J30" s="64"/>
      <c r="K30" s="56" t="s">
        <v>100</v>
      </c>
      <c r="L30" s="57" t="s">
        <v>150</v>
      </c>
      <c r="M30" s="57" t="s">
        <v>102</v>
      </c>
      <c r="N30" s="57" t="s">
        <v>151</v>
      </c>
      <c r="O30" s="58">
        <v>2018</v>
      </c>
      <c r="P30" s="59">
        <v>2030</v>
      </c>
      <c r="Q30" s="59">
        <v>2040</v>
      </c>
      <c r="R30" s="64"/>
      <c r="S30" s="64"/>
      <c r="T30" s="64"/>
      <c r="U30" s="64"/>
      <c r="V30" s="64"/>
      <c r="W30" s="64"/>
      <c r="X30" s="64"/>
      <c r="Y30" s="64"/>
      <c r="Z30" s="64"/>
      <c r="AA30" s="64"/>
      <c r="AB30" s="64"/>
      <c r="AC30" s="64"/>
      <c r="AD30" s="64"/>
      <c r="AE30" s="64"/>
      <c r="AF30" s="64"/>
      <c r="AG30" s="64"/>
      <c r="AH30" s="64"/>
      <c r="AI30" s="64"/>
      <c r="AJ30" s="64"/>
      <c r="AK30" s="64"/>
      <c r="AL30" s="64"/>
      <c r="AM30" s="64"/>
      <c r="AN30" s="64"/>
    </row>
    <row r="31" spans="1:40" x14ac:dyDescent="0.35">
      <c r="A31" s="1"/>
      <c r="B31" s="105" t="s">
        <v>241</v>
      </c>
      <c r="C31" s="108">
        <f>IF($H$13&lt;2030,FORECAST($H$13,O31:P31,$O$30:$P$30),FORECAST($H$13,P31:Q31,$P$30:$Q$30))</f>
        <v>20789.42633333334</v>
      </c>
      <c r="D31" s="1"/>
      <c r="E31" s="1"/>
      <c r="F31" s="1"/>
      <c r="G31" s="64"/>
      <c r="H31" s="120">
        <f>C31</f>
        <v>20789.42633333334</v>
      </c>
      <c r="I31" s="64"/>
      <c r="J31" s="64"/>
      <c r="K31" s="53" t="s">
        <v>242</v>
      </c>
      <c r="L31" s="54" t="s">
        <v>106</v>
      </c>
      <c r="M31" s="98">
        <v>35</v>
      </c>
      <c r="N31" s="54" t="s">
        <v>107</v>
      </c>
      <c r="O31" s="55">
        <f>IF(L31="CO2eq",VLOOKUP(M31,'Emission Factors'!$G$3:$J$18,MATCH(K31,'Emission Factors'!$G$2:$J$2,0),0),IF(L31="CO",VLOOKUP($M31,'Emission Factors'!$G$19:$J$34,MATCH(K31,'Emission Factors'!$G$2:$J$2,0),0),IF(L31="PM2.5",VLOOKUP(M31,'Emission Factors'!$G$35:$J$50,MATCH(K31,'Emission Factors'!$G$2:$J$2,0),0),IF(L31="NOx",VLOOKUP(M31,'Emission Factors'!$G$51:$J$66,MATCH(K31,'Emission Factors'!$G$2:$J$2,0),0),VLOOKUP(M31,'Emission Factors'!$G$67:$J$82,MATCH(K31,'Emission Factors'!$G$2:$J$2,0),0)))))</f>
        <v>602.02700000000004</v>
      </c>
      <c r="P31" s="155">
        <f>IF($L31="CO2eq",VLOOKUP($M31,'Emission Factors'!$G$88:$J$103,MATCH($K31,'Emission Factors'!$G$87:$J$87,0),0),IF(L31="CO",VLOOKUP($M31,'Emission Factors'!$G$104:$J$119,MATCH(K31,'Emission Factors'!$G$2:$J$2,0),0),IF(L31="PM2.5",VLOOKUP(M31,'Emission Factors'!$G$120:$J$135,MATCH(K31,'Emission Factors'!$G$2:$J$2,0),0),IF(L31="NOx",VLOOKUP(M31,'Emission Factors'!$G$136:$J$151,MATCH(K31,'Emission Factors'!$G$2:$J$2,0),0),VLOOKUP(M31,'Emission Factors'!$G$152:$J$167,MATCH(K31,'Emission Factors'!$G$2:$J$2,0),0)))))</f>
        <v>481.983</v>
      </c>
      <c r="Q31" s="155">
        <f>IF($L31="CO2eq",VLOOKUP($M31, 'Emission Factors'!G173:J188,MATCH($K31,'Emission Factors'!$G$2:$J$2,0),0),IF(L31="CO",VLOOKUP($M31, 'Emission Factors'!$G$189:$J$204,MATCH(K31,'Emission Factors'!$G$2:$J$2,0),0),IF(L31="PM2.5",VLOOKUP(M31, 'Emission Factors'!$G$205:$J$220,MATCH(K31,'Emission Factors'!$G$2:$J$2,0),0),IF(L31="NOx",VLOOKUP(M31, 'Emission Factors'!$G$221:$J$236,MATCH(K31,'Emission Factors'!$G$2:$J$2,0),0),VLOOKUP(M31, 'Emission Factors'!$G$237:$J$252,MATCH(K31,'Emission Factors'!$G$2:$J$2,0),0)))))</f>
        <v>440.76499999999999</v>
      </c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</row>
    <row r="32" spans="1:40" x14ac:dyDescent="0.35">
      <c r="A32" s="1"/>
      <c r="B32" s="105" t="s">
        <v>243</v>
      </c>
      <c r="C32" s="108">
        <f t="shared" ref="C32:C40" si="3">IF($H$13&lt;2030,FORECAST($H$13,O32:P32,$O$30:$P$30),FORECAST($H$13,P32:Q32,$P$30:$Q$30))</f>
        <v>381.21809166666662</v>
      </c>
      <c r="D32" s="1"/>
      <c r="E32" s="1"/>
      <c r="F32" s="1"/>
      <c r="G32" s="64"/>
      <c r="H32" s="120">
        <f t="shared" ref="H32:H35" si="4">C32</f>
        <v>381.21809166666662</v>
      </c>
      <c r="I32" s="64"/>
      <c r="J32" s="64"/>
      <c r="K32" s="53" t="s">
        <v>242</v>
      </c>
      <c r="L32" s="45" t="s">
        <v>109</v>
      </c>
      <c r="M32" s="99">
        <v>35</v>
      </c>
      <c r="N32" s="45" t="s">
        <v>107</v>
      </c>
      <c r="O32" s="46">
        <f>IF(L32="CO2eq",VLOOKUP(M32,'Emission Factors'!$G$3:$J$18,MATCH(K32,'Emission Factors'!$G$2:$J$2,0),0),IF(L32="CO",VLOOKUP($M32,'Emission Factors'!$G$19:$J$34,MATCH(K32,'Emission Factors'!$G$2:$J$2,0),0),IF(L32="PM2.5",VLOOKUP(M32,'Emission Factors'!$G$35:$J$50,MATCH(K32,'Emission Factors'!$G$2:$J$2,0),0),IF(L32="NOx",VLOOKUP(M32,'Emission Factors'!$G$51:$J$66,MATCH(K32,'Emission Factors'!$G$2:$J$2,0),0),VLOOKUP(M32,'Emission Factors'!$G$67:$J$82,MATCH(K32,'Emission Factors'!$G$2:$J$2,0),0)))))</f>
        <v>3.8907699999999998</v>
      </c>
      <c r="P32" s="156">
        <f>IF($L32="CO2eq",VLOOKUP($M32,'Emission Factors'!$G$88:$J$103,MATCH($K32,'Emission Factors'!$G$87:$J$87,0),0),IF(L32="CO",VLOOKUP($M32,'Emission Factors'!$G$104:$J$119,MATCH(K32,'Emission Factors'!$G$2:$J$2,0),0),IF(L32="PM2.5",VLOOKUP(M32,'Emission Factors'!$G$120:$J$135,MATCH(K32,'Emission Factors'!$G$2:$J$2,0),0),IF(L32="NOx",VLOOKUP(M32,'Emission Factors'!$G$136:$J$151,MATCH(K32,'Emission Factors'!$G$2:$J$2,0),0),VLOOKUP(M32,'Emission Factors'!$G$152:$J$167,MATCH(K32,'Emission Factors'!$G$2:$J$2,0),0)))))</f>
        <v>1.647</v>
      </c>
      <c r="Q32" s="155">
        <f>IF($L32="CO2eq",VLOOKUP($M32, 'Emission Factors'!G174:J189,MATCH($K32,'Emission Factors'!$G$2:$J$2,0),0),IF(L32="CO",VLOOKUP($M32, 'Emission Factors'!$G$189:$J$204,MATCH(K32,'Emission Factors'!$G$2:$J$2,0),0),IF(L32="PM2.5",VLOOKUP(M32, 'Emission Factors'!$G$205:$J$220,MATCH(K32,'Emission Factors'!$G$2:$J$2,0),0),IF(L32="NOx",VLOOKUP(M32, 'Emission Factors'!$G$221:$J$236,MATCH(K32,'Emission Factors'!$G$2:$J$2,0),0),VLOOKUP(M32, 'Emission Factors'!$G$237:$J$252,MATCH(K32,'Emission Factors'!$G$2:$J$2,0),0)))))</f>
        <v>1.2113700000000001</v>
      </c>
      <c r="R32" s="64"/>
      <c r="S32" s="64"/>
      <c r="T32" s="64"/>
      <c r="U32" s="64"/>
      <c r="V32" s="64"/>
      <c r="W32" s="64"/>
      <c r="X32" s="64"/>
      <c r="Y32" s="64"/>
      <c r="Z32" s="64"/>
      <c r="AA32" s="64"/>
      <c r="AB32" s="64"/>
      <c r="AC32" s="64"/>
      <c r="AD32" s="64"/>
      <c r="AE32" s="64"/>
      <c r="AF32" s="64"/>
      <c r="AG32" s="64"/>
      <c r="AH32" s="64"/>
      <c r="AI32" s="64"/>
      <c r="AJ32" s="64"/>
      <c r="AK32" s="64"/>
      <c r="AL32" s="64"/>
      <c r="AM32" s="64"/>
      <c r="AN32" s="64"/>
    </row>
    <row r="33" spans="1:40" x14ac:dyDescent="0.35">
      <c r="A33" s="1"/>
      <c r="B33" s="105" t="s">
        <v>244</v>
      </c>
      <c r="C33" s="108">
        <f t="shared" si="3"/>
        <v>4.1370912200000003</v>
      </c>
      <c r="D33" s="1"/>
      <c r="E33" s="1"/>
      <c r="F33" s="1"/>
      <c r="G33" s="64"/>
      <c r="H33" s="120">
        <f t="shared" si="4"/>
        <v>4.1370912200000003</v>
      </c>
      <c r="I33" s="64"/>
      <c r="J33" s="64"/>
      <c r="K33" s="53" t="s">
        <v>242</v>
      </c>
      <c r="L33" s="45" t="s">
        <v>111</v>
      </c>
      <c r="M33" s="99">
        <v>35</v>
      </c>
      <c r="N33" s="45" t="s">
        <v>107</v>
      </c>
      <c r="O33" s="46">
        <f>IF(L33="CO2eq",VLOOKUP(M33,'Emission Factors'!$G$3:$J$18,MATCH(K33,'Emission Factors'!$G$2:$J$2,0),0),IF(L33="CO",VLOOKUP($M33,'Emission Factors'!$G$19:$J$34,MATCH(K33,'Emission Factors'!$G$2:$J$2,0),0),IF(L33="PM2.5",VLOOKUP(M33,'Emission Factors'!$G$35:$J$50,MATCH(K33,'Emission Factors'!$G$2:$J$2,0),0),IF(L33="NOx",VLOOKUP(M33,'Emission Factors'!$G$51:$J$66,MATCH(K33,'Emission Factors'!$G$2:$J$2,0),0),VLOOKUP(M33,'Emission Factors'!$G$67:$J$82,MATCH(K33,'Emission Factors'!$G$2:$J$2,0),0)))))</f>
        <v>2.8967900000000001E-2</v>
      </c>
      <c r="P33" s="156">
        <f>IF($L33="CO2eq",VLOOKUP($M33,'Emission Factors'!$G$88:$J$103,MATCH($K33,'Emission Factors'!$G$87:$J$87,0),0),IF(L33="CO",VLOOKUP($M33,'Emission Factors'!$G$104:$J$119,MATCH(K33,'Emission Factors'!$G$2:$J$2,0),0),IF(L33="PM2.5",VLOOKUP(M33,'Emission Factors'!$G$120:$J$135,MATCH(K33,'Emission Factors'!$G$2:$J$2,0),0),IF(L33="NOx",VLOOKUP(M33,'Emission Factors'!$G$136:$J$151,MATCH(K33,'Emission Factors'!$G$2:$J$2,0),0),VLOOKUP(M33,'Emission Factors'!$G$152:$J$167,MATCH(K33,'Emission Factors'!$G$2:$J$2,0),0)))))</f>
        <v>4.5390200000000004E-3</v>
      </c>
      <c r="Q33" s="155">
        <f>IF($L33="CO2eq",VLOOKUP($M33, 'Emission Factors'!G175:J190,MATCH($K33,'Emission Factors'!$G$2:$J$2,0),0),IF(L33="CO",VLOOKUP($M33, 'Emission Factors'!$G$189:$J$204,MATCH(K33,'Emission Factors'!$G$2:$J$2,0),0),IF(L33="PM2.5",VLOOKUP(M33, 'Emission Factors'!$G$205:$J$220,MATCH(K33,'Emission Factors'!$G$2:$J$2,0),0),IF(L33="NOx",VLOOKUP(M33, 'Emission Factors'!$G$221:$J$236,MATCH(K33,'Emission Factors'!$G$2:$J$2,0),0),VLOOKUP(M33, 'Emission Factors'!$G$237:$J$252,MATCH(K33,'Emission Factors'!$G$2:$J$2,0),0)))))</f>
        <v>2.5911200000000001E-3</v>
      </c>
      <c r="R33" s="64"/>
      <c r="S33" s="64"/>
      <c r="T33" s="64"/>
      <c r="U33" s="64"/>
      <c r="V33" s="64"/>
      <c r="W33" s="64"/>
      <c r="X33" s="64"/>
      <c r="Y33" s="64"/>
      <c r="Z33" s="64"/>
      <c r="AA33" s="64"/>
      <c r="AB33" s="64"/>
      <c r="AC33" s="64"/>
      <c r="AD33" s="64"/>
      <c r="AE33" s="64"/>
      <c r="AF33" s="64"/>
      <c r="AG33" s="64"/>
      <c r="AH33" s="64"/>
      <c r="AI33" s="64"/>
      <c r="AJ33" s="64"/>
      <c r="AK33" s="64"/>
      <c r="AL33" s="64"/>
      <c r="AM33" s="64"/>
      <c r="AN33" s="64"/>
    </row>
    <row r="34" spans="1:40" x14ac:dyDescent="0.35">
      <c r="A34" s="1"/>
      <c r="B34" s="105" t="s">
        <v>245</v>
      </c>
      <c r="C34" s="108">
        <f t="shared" si="3"/>
        <v>139.03738883333335</v>
      </c>
      <c r="D34" s="1"/>
      <c r="E34" s="1"/>
      <c r="F34" s="1"/>
      <c r="G34" s="64"/>
      <c r="H34" s="120">
        <f t="shared" si="4"/>
        <v>139.03738883333335</v>
      </c>
      <c r="I34" s="64"/>
      <c r="J34" s="64"/>
      <c r="K34" s="53" t="s">
        <v>242</v>
      </c>
      <c r="L34" s="45" t="s">
        <v>113</v>
      </c>
      <c r="M34" s="99">
        <v>35</v>
      </c>
      <c r="N34" s="45" t="s">
        <v>107</v>
      </c>
      <c r="O34" s="46">
        <f>IF(L34="CO2eq",VLOOKUP(M34,'Emission Factors'!$G$3:$J$18,MATCH(K34,'Emission Factors'!$G$2:$J$2,0),0),IF(L34="CO",VLOOKUP($M34,'Emission Factors'!$G$19:$J$34,MATCH(K34,'Emission Factors'!$G$2:$J$2,0),0),IF(L34="PM2.5",VLOOKUP(M34,'Emission Factors'!$G$35:$J$50,MATCH(K34,'Emission Factors'!$G$2:$J$2,0),0),IF(L34="NOx",VLOOKUP(M34,'Emission Factors'!$G$51:$J$66,MATCH(K34,'Emission Factors'!$G$2:$J$2,0),0),VLOOKUP(M34,'Emission Factors'!$G$67:$J$82,MATCH(K34,'Emission Factors'!$G$2:$J$2,0),0)))))</f>
        <v>1.1950400000000001</v>
      </c>
      <c r="P34" s="156">
        <f>IF($L34="CO2eq",VLOOKUP($M34,'Emission Factors'!$G$88:$J$103,MATCH($K34,'Emission Factors'!$G$87:$J$87,0),0),IF(L34="CO",VLOOKUP($M34,'Emission Factors'!$G$104:$J$119,MATCH(K34,'Emission Factors'!$G$2:$J$2,0),0),IF(L34="PM2.5",VLOOKUP(M34,'Emission Factors'!$G$120:$J$135,MATCH(K34,'Emission Factors'!$G$2:$J$2,0),0),IF(L34="NOx",VLOOKUP(M34,'Emission Factors'!$G$136:$J$151,MATCH(K34,'Emission Factors'!$G$2:$J$2,0),0),VLOOKUP(M34,'Emission Factors'!$G$152:$J$167,MATCH(K34,'Emission Factors'!$G$2:$J$2,0),0)))))</f>
        <v>0.375363</v>
      </c>
      <c r="Q34" s="155">
        <f>IF($L34="CO2eq",VLOOKUP($M34, 'Emission Factors'!G176:J191,MATCH($K34,'Emission Factors'!$G$2:$J$2,0),0),IF(L34="CO",VLOOKUP($M34, 'Emission Factors'!$G$189:$J$204,MATCH(K34,'Emission Factors'!$G$2:$J$2,0),0),IF(L34="PM2.5",VLOOKUP(M34, 'Emission Factors'!$G$205:$J$220,MATCH(K34,'Emission Factors'!$G$2:$J$2,0),0),IF(L34="NOx",VLOOKUP(M34, 'Emission Factors'!$G$221:$J$236,MATCH(K34,'Emission Factors'!$G$2:$J$2,0),0),VLOOKUP(M34, 'Emission Factors'!$G$237:$J$252,MATCH(K34,'Emission Factors'!$G$2:$J$2,0),0)))))</f>
        <v>0.28048299999999998</v>
      </c>
      <c r="R34" s="64"/>
      <c r="S34" s="64"/>
      <c r="T34" s="64"/>
      <c r="U34" s="64"/>
      <c r="V34" s="64"/>
      <c r="W34" s="64"/>
      <c r="X34" s="64"/>
      <c r="Y34" s="64"/>
      <c r="Z34" s="64"/>
      <c r="AA34" s="64"/>
      <c r="AB34" s="64"/>
      <c r="AC34" s="64"/>
      <c r="AD34" s="64"/>
      <c r="AE34" s="64"/>
      <c r="AF34" s="64"/>
      <c r="AG34" s="64"/>
      <c r="AH34" s="64"/>
      <c r="AI34" s="64"/>
      <c r="AJ34" s="64"/>
      <c r="AK34" s="64"/>
      <c r="AL34" s="64"/>
      <c r="AM34" s="64"/>
      <c r="AN34" s="64"/>
    </row>
    <row r="35" spans="1:40" x14ac:dyDescent="0.35">
      <c r="A35" s="1"/>
      <c r="B35" s="105" t="s">
        <v>246</v>
      </c>
      <c r="C35" s="108">
        <f t="shared" si="3"/>
        <v>22.455084366666668</v>
      </c>
      <c r="D35" s="1"/>
      <c r="E35" s="1"/>
      <c r="F35" s="1"/>
      <c r="G35" s="64"/>
      <c r="H35" s="120">
        <f t="shared" si="4"/>
        <v>22.455084366666668</v>
      </c>
      <c r="I35" s="64"/>
      <c r="J35" s="64"/>
      <c r="K35" s="53" t="s">
        <v>242</v>
      </c>
      <c r="L35" s="50" t="s">
        <v>115</v>
      </c>
      <c r="M35" s="51">
        <v>35</v>
      </c>
      <c r="N35" s="50" t="s">
        <v>107</v>
      </c>
      <c r="O35" s="52">
        <f>IF(L35="CO2eq",VLOOKUP(M35,'Emission Factors'!$G$3:$J$18,MATCH(K35,'Emission Factors'!$G$2:$J$2,0),0),IF(L35="CO",VLOOKUP($M35,'Emission Factors'!$G$19:$J$34,MATCH(K35,'Emission Factors'!$G$2:$J$2,0),0),IF(L35="PM2.5",VLOOKUP(M35,'Emission Factors'!$G$35:$J$50,MATCH(K35,'Emission Factors'!$G$2:$J$2,0),0),IF(L35="NOx",VLOOKUP(M35,'Emission Factors'!$G$51:$J$66,MATCH(K35,'Emission Factors'!$G$2:$J$2,0),0),VLOOKUP(M35,'Emission Factors'!$G$67:$J$82,MATCH(K35,'Emission Factors'!$G$2:$J$2,0),0)))))</f>
        <v>0.168326</v>
      </c>
      <c r="P35" s="157">
        <f>IF($L35="CO2eq",VLOOKUP($M35,'Emission Factors'!$G$88:$J$103,MATCH($K35,'Emission Factors'!$G$87:$J$87,0),0),IF(L35="CO",VLOOKUP($M35,'Emission Factors'!$G$104:$J$119,MATCH(K35,'Emission Factors'!$G$2:$J$2,0),0),IF(L35="PM2.5",VLOOKUP(M35,'Emission Factors'!$G$120:$J$135,MATCH(K35,'Emission Factors'!$G$2:$J$2,0),0),IF(L35="NOx",VLOOKUP(M35,'Emission Factors'!$G$136:$J$151,MATCH(K35,'Emission Factors'!$G$2:$J$2,0),0),VLOOKUP(M35,'Emission Factors'!$G$152:$J$167,MATCH(K35,'Emission Factors'!$G$2:$J$2,0),0)))))</f>
        <v>3.5798200000000002E-2</v>
      </c>
      <c r="Q35" s="478">
        <f>IF($L35="CO2eq",VLOOKUP($M35, 'Emission Factors'!G177:J192,MATCH($K35,'Emission Factors'!$G$2:$J$2,0),0),IF(L35="CO",VLOOKUP($M35, 'Emission Factors'!$G$189:$J$204,MATCH(K35,'Emission Factors'!$G$2:$J$2,0),0),IF(L35="PM2.5",VLOOKUP(M35, 'Emission Factors'!$G$205:$J$220,MATCH(K35,'Emission Factors'!$G$2:$J$2,0),0),IF(L35="NOx",VLOOKUP(M35, 'Emission Factors'!$G$221:$J$236,MATCH(K35,'Emission Factors'!$G$2:$J$2,0),0),VLOOKUP(M35, 'Emission Factors'!$G$237:$J$252,MATCH(K35,'Emission Factors'!$G$2:$J$2,0),0)))))</f>
        <v>2.2318299999999999E-2</v>
      </c>
      <c r="R35" s="64"/>
      <c r="S35" s="64"/>
      <c r="T35" s="64"/>
      <c r="U35" s="64"/>
      <c r="V35" s="64"/>
      <c r="W35" s="64"/>
      <c r="X35" s="64"/>
      <c r="Y35" s="64"/>
      <c r="Z35" s="64"/>
      <c r="AA35" s="64"/>
      <c r="AB35" s="64"/>
      <c r="AC35" s="64"/>
      <c r="AD35" s="64"/>
      <c r="AE35" s="64"/>
      <c r="AF35" s="64"/>
      <c r="AG35" s="64"/>
      <c r="AH35" s="64"/>
      <c r="AI35" s="64"/>
      <c r="AJ35" s="64"/>
      <c r="AK35" s="64"/>
      <c r="AL35" s="64"/>
      <c r="AM35" s="64"/>
      <c r="AN35" s="64"/>
    </row>
    <row r="36" spans="1:40" x14ac:dyDescent="0.35">
      <c r="A36" s="1"/>
      <c r="B36" s="105" t="s">
        <v>104</v>
      </c>
      <c r="C36" s="108">
        <f t="shared" si="3"/>
        <v>14163.40716666667</v>
      </c>
      <c r="D36" s="1"/>
      <c r="E36" s="1"/>
      <c r="F36" s="1"/>
      <c r="G36" s="64"/>
      <c r="H36" s="120">
        <f>C36</f>
        <v>14163.40716666667</v>
      </c>
      <c r="I36" s="64"/>
      <c r="J36" s="64"/>
      <c r="K36" s="53" t="s">
        <v>105</v>
      </c>
      <c r="L36" s="54" t="s">
        <v>106</v>
      </c>
      <c r="M36" s="98">
        <v>35</v>
      </c>
      <c r="N36" s="54" t="s">
        <v>107</v>
      </c>
      <c r="O36" s="55">
        <f>IF(L36="CO2eq",VLOOKUP(M36,'Emission Factors'!$G$3:$J$18,MATCH(K36,'Emission Factors'!$G$2:$J$2,0),0),IF(L36="CO",VLOOKUP($M36,'Emission Factors'!$G$19:$J$34,MATCH(K36,'Emission Factors'!$G$2:$J$2,0),0),IF(L36="PM2.5",VLOOKUP(M36,'Emission Factors'!$G$35:$J$50,MATCH(K36,'Emission Factors'!$G$2:$J$2,0),0),IF(L36="NOx",VLOOKUP(M36,'Emission Factors'!$G$51:$J$66,MATCH(K36,'Emission Factors'!$G$2:$J$2,0),0),VLOOKUP(M36,'Emission Factors'!$G$67:$J$82,MATCH(K36,'Emission Factors'!$G$2:$J$2,0),0)))))</f>
        <v>345.99299999999999</v>
      </c>
      <c r="P36" s="155">
        <f>IF($L36="CO2eq",VLOOKUP($M36,'Emission Factors'!$G$88:$J$103,MATCH($K36,'Emission Factors'!$G$87:$J$87,0),0),IF(L36="CO",VLOOKUP($M36,'Emission Factors'!$G$104:$J$119,MATCH(K36,'Emission Factors'!$G$2:$J$2,0),0),IF(L36="PM2.5",VLOOKUP(M36,'Emission Factors'!$G$120:$J$135,MATCH(K36,'Emission Factors'!$G$2:$J$2,0),0),IF(L36="NOx",VLOOKUP(M36,'Emission Factors'!$G$136:$J$151,MATCH(K36,'Emission Factors'!$G$2:$J$2,0),0),VLOOKUP(M36,'Emission Factors'!$G$152:$J$167,MATCH(K36,'Emission Factors'!$G$2:$J$2,0),0)))))</f>
        <v>263.82799999999997</v>
      </c>
      <c r="Q36" s="479">
        <f>IF($L36="CO2eq",VLOOKUP($M36, 'Emission Factors'!G178:J193,MATCH($K36,'Emission Factors'!$G$2:$J$2,0),0),IF(L36="CO",VLOOKUP($M36, 'Emission Factors'!$G$189:$J$204,MATCH(K36,'Emission Factors'!$G$2:$J$2,0),0),IF(L36="PM2.5",VLOOKUP(M36, 'Emission Factors'!$G$205:$J$220,MATCH(K36,'Emission Factors'!$G$2:$J$2,0),0),IF(L36="NOx",VLOOKUP(M36, 'Emission Factors'!$G$221:$J$236,MATCH(K36,'Emission Factors'!$G$2:$J$2,0),0),VLOOKUP(M36, 'Emission Factors'!$G$237:$J$252,MATCH(K36,'Emission Factors'!$G$2:$J$2,0),0)))))</f>
        <v>238.08</v>
      </c>
      <c r="R36" s="64"/>
      <c r="S36" s="64"/>
      <c r="T36" s="64"/>
      <c r="U36" s="64"/>
      <c r="V36" s="64"/>
      <c r="W36" s="64"/>
      <c r="X36" s="64"/>
      <c r="Y36" s="64"/>
      <c r="Z36" s="64"/>
      <c r="AA36" s="64"/>
      <c r="AB36" s="64"/>
      <c r="AC36" s="64"/>
      <c r="AD36" s="64"/>
      <c r="AE36" s="64"/>
      <c r="AF36" s="64"/>
      <c r="AG36" s="64"/>
      <c r="AH36" s="64"/>
      <c r="AI36" s="64"/>
      <c r="AJ36" s="64"/>
      <c r="AK36" s="64"/>
      <c r="AL36" s="64"/>
      <c r="AM36" s="64"/>
      <c r="AN36" s="64"/>
    </row>
    <row r="37" spans="1:40" x14ac:dyDescent="0.35">
      <c r="A37" s="1"/>
      <c r="B37" s="105" t="s">
        <v>108</v>
      </c>
      <c r="C37" s="108">
        <f t="shared" si="3"/>
        <v>248.39519333333331</v>
      </c>
      <c r="D37" s="1"/>
      <c r="E37" s="1"/>
      <c r="F37" s="1"/>
      <c r="G37" s="64"/>
      <c r="H37" s="120">
        <f t="shared" ref="H37:H40" si="5">C37</f>
        <v>248.39519333333331</v>
      </c>
      <c r="I37" s="64"/>
      <c r="J37" s="64"/>
      <c r="K37" s="48" t="s">
        <v>105</v>
      </c>
      <c r="L37" s="45" t="s">
        <v>109</v>
      </c>
      <c r="M37" s="99">
        <v>35</v>
      </c>
      <c r="N37" s="45" t="s">
        <v>107</v>
      </c>
      <c r="O37" s="46">
        <f>IF(L37="CO2eq",VLOOKUP(M37,'Emission Factors'!$G$3:$J$18,MATCH(K37,'Emission Factors'!$G$2:$J$2,0),0),IF(L37="CO",VLOOKUP($M37,'Emission Factors'!$G$19:$J$34,MATCH(K37,'Emission Factors'!$G$2:$J$2,0),0),IF(L37="PM2.5",VLOOKUP(M37,'Emission Factors'!$G$35:$J$50,MATCH(K37,'Emission Factors'!$G$2:$J$2,0),0),IF(L37="NOx",VLOOKUP(M37,'Emission Factors'!$G$51:$J$66,MATCH(K37,'Emission Factors'!$G$2:$J$2,0),0),VLOOKUP(M37,'Emission Factors'!$G$67:$J$82,MATCH(K37,'Emission Factors'!$G$2:$J$2,0),0)))))</f>
        <v>2.8012299999999999</v>
      </c>
      <c r="P37" s="156">
        <f>IF($L37="CO2eq",VLOOKUP($M37,'Emission Factors'!$G$88:$J$103,MATCH($K37,'Emission Factors'!$G$87:$J$87,0),0),IF(L37="CO",VLOOKUP($M37,'Emission Factors'!$G$104:$J$119,MATCH(K37,'Emission Factors'!$G$2:$J$2,0),0),IF(L37="PM2.5",VLOOKUP(M37,'Emission Factors'!$G$120:$J$135,MATCH(K37,'Emission Factors'!$G$2:$J$2,0),0),IF(L37="NOx",VLOOKUP(M37,'Emission Factors'!$G$136:$J$151,MATCH(K37,'Emission Factors'!$G$2:$J$2,0),0),VLOOKUP(M37,'Emission Factors'!$G$152:$J$167,MATCH(K37,'Emission Factors'!$G$2:$J$2,0),0)))))</f>
        <v>1.3408100000000001</v>
      </c>
      <c r="Q37" s="480">
        <f>IF($L37="CO2eq",VLOOKUP($M37, 'Emission Factors'!G179:J194,MATCH($K37,'Emission Factors'!$G$2:$J$2,0),0),IF(L37="CO",VLOOKUP($M37, 'Emission Factors'!$G$189:$J$204,MATCH(K37,'Emission Factors'!$G$2:$J$2,0),0),IF(L37="PM2.5",VLOOKUP(M37, 'Emission Factors'!$G$205:$J$220,MATCH(K37,'Emission Factors'!$G$2:$J$2,0),0),IF(L37="NOx",VLOOKUP(M37, 'Emission Factors'!$G$221:$J$236,MATCH(K37,'Emission Factors'!$G$2:$J$2,0),0),VLOOKUP(M37, 'Emission Factors'!$G$237:$J$252,MATCH(K37,'Emission Factors'!$G$2:$J$2,0),0)))))</f>
        <v>0.96630300000000002</v>
      </c>
      <c r="R37" s="64"/>
      <c r="S37" s="64"/>
      <c r="T37" s="64"/>
      <c r="U37" s="64"/>
      <c r="V37" s="64"/>
      <c r="W37" s="64"/>
      <c r="X37" s="64"/>
      <c r="Y37" s="64"/>
      <c r="Z37" s="64"/>
      <c r="AA37" s="64"/>
      <c r="AB37" s="64"/>
      <c r="AC37" s="64"/>
      <c r="AD37" s="64"/>
      <c r="AE37" s="64"/>
      <c r="AF37" s="64"/>
      <c r="AG37" s="64"/>
      <c r="AH37" s="64"/>
      <c r="AI37" s="64"/>
      <c r="AJ37" s="64"/>
      <c r="AK37" s="64"/>
      <c r="AL37" s="64"/>
      <c r="AM37" s="64"/>
      <c r="AN37" s="64"/>
    </row>
    <row r="38" spans="1:40" x14ac:dyDescent="0.35">
      <c r="A38" s="1"/>
      <c r="B38" s="105" t="s">
        <v>110</v>
      </c>
      <c r="C38" s="108">
        <f t="shared" si="3"/>
        <v>0.41422921833333326</v>
      </c>
      <c r="D38" s="1"/>
      <c r="E38" s="1"/>
      <c r="F38" s="1"/>
      <c r="G38" s="64"/>
      <c r="H38" s="120">
        <f t="shared" si="5"/>
        <v>0.41422921833333326</v>
      </c>
      <c r="I38" s="64"/>
      <c r="J38" s="64"/>
      <c r="K38" s="48" t="s">
        <v>105</v>
      </c>
      <c r="L38" s="45" t="s">
        <v>111</v>
      </c>
      <c r="M38" s="99">
        <v>35</v>
      </c>
      <c r="N38" s="45" t="s">
        <v>107</v>
      </c>
      <c r="O38" s="46">
        <f>IF(L38="CO2eq",VLOOKUP(M38,'Emission Factors'!$G$3:$J$18,MATCH(K38,'Emission Factors'!$G$2:$J$2,0),0),IF(L38="CO",VLOOKUP($M38,'Emission Factors'!$G$19:$J$34,MATCH(K38,'Emission Factors'!$G$2:$J$2,0),0),IF(L38="PM2.5",VLOOKUP(M38,'Emission Factors'!$G$35:$J$50,MATCH(K38,'Emission Factors'!$G$2:$J$2,0),0),IF(L38="NOx",VLOOKUP(M38,'Emission Factors'!$G$51:$J$66,MATCH(K38,'Emission Factors'!$G$2:$J$2,0),0),VLOOKUP(M38,'Emission Factors'!$G$67:$J$82,MATCH(K38,'Emission Factors'!$G$2:$J$2,0),0)))))</f>
        <v>3.88069E-3</v>
      </c>
      <c r="P38" s="156">
        <f>IF($L38="CO2eq",VLOOKUP($M38,'Emission Factors'!$G$88:$J$103,MATCH($K38,'Emission Factors'!$G$87:$J$87,0),0),IF(L38="CO",VLOOKUP($M38,'Emission Factors'!$G$104:$J$119,MATCH(K38,'Emission Factors'!$G$2:$J$2,0),0),IF(L38="PM2.5",VLOOKUP(M38,'Emission Factors'!$G$120:$J$135,MATCH(K38,'Emission Factors'!$G$2:$J$2,0),0),IF(L38="NOx",VLOOKUP(M38,'Emission Factors'!$G$136:$J$151,MATCH(K38,'Emission Factors'!$G$2:$J$2,0),0),VLOOKUP(M38,'Emission Factors'!$G$152:$J$167,MATCH(K38,'Emission Factors'!$G$2:$J$2,0),0)))))</f>
        <v>1.44056E-3</v>
      </c>
      <c r="Q38" s="480">
        <f>IF($L38="CO2eq",VLOOKUP($M38, 'Emission Factors'!G180:J195,MATCH($K38,'Emission Factors'!$G$2:$J$2,0),0),IF(L38="CO",VLOOKUP($M38, 'Emission Factors'!$G$189:$J$204,MATCH(K38,'Emission Factors'!$G$2:$J$2,0),0),IF(L38="PM2.5",VLOOKUP(M38, 'Emission Factors'!$G$205:$J$220,MATCH(K38,'Emission Factors'!$G$2:$J$2,0),0),IF(L38="NOx",VLOOKUP(M38, 'Emission Factors'!$G$221:$J$236,MATCH(K38,'Emission Factors'!$G$2:$J$2,0),0),VLOOKUP(M38, 'Emission Factors'!$G$237:$J$252,MATCH(K38,'Emission Factors'!$G$2:$J$2,0),0)))))</f>
        <v>1.0138199999999999E-3</v>
      </c>
      <c r="R38" s="64"/>
      <c r="S38" s="64"/>
      <c r="T38" s="64"/>
      <c r="U38" s="64"/>
      <c r="V38" s="64"/>
      <c r="W38" s="64"/>
      <c r="X38" s="64"/>
      <c r="Y38" s="64"/>
      <c r="Z38" s="64"/>
      <c r="AA38" s="64"/>
      <c r="AB38" s="64"/>
      <c r="AC38" s="64"/>
      <c r="AD38" s="64"/>
      <c r="AE38" s="64"/>
      <c r="AF38" s="64"/>
      <c r="AG38" s="64"/>
      <c r="AH38" s="64"/>
      <c r="AI38" s="64"/>
      <c r="AJ38" s="64"/>
      <c r="AK38" s="64"/>
      <c r="AL38" s="64"/>
      <c r="AM38" s="64"/>
      <c r="AN38" s="64"/>
    </row>
    <row r="39" spans="1:40" x14ac:dyDescent="0.35">
      <c r="A39" s="1"/>
      <c r="B39" s="105" t="s">
        <v>112</v>
      </c>
      <c r="C39" s="108">
        <f t="shared" si="3"/>
        <v>41.369416749999992</v>
      </c>
      <c r="D39" s="1"/>
      <c r="E39" s="1"/>
      <c r="F39" s="1"/>
      <c r="G39" s="64"/>
      <c r="H39" s="120">
        <f t="shared" si="5"/>
        <v>41.369416749999992</v>
      </c>
      <c r="I39" s="64"/>
      <c r="J39" s="64"/>
      <c r="K39" s="48" t="s">
        <v>105</v>
      </c>
      <c r="L39" s="45" t="s">
        <v>113</v>
      </c>
      <c r="M39" s="99">
        <v>35</v>
      </c>
      <c r="N39" s="45" t="s">
        <v>107</v>
      </c>
      <c r="O39" s="46">
        <f>IF(L39="CO2eq",VLOOKUP(M39,'Emission Factors'!$G$3:$J$18,MATCH(K39,'Emission Factors'!$G$2:$J$2,0),0),IF(L39="CO",VLOOKUP($M39,'Emission Factors'!$G$19:$J$34,MATCH(K39,'Emission Factors'!$G$2:$J$2,0),0),IF(L39="PM2.5",VLOOKUP(M39,'Emission Factors'!$G$35:$J$50,MATCH(K39,'Emission Factors'!$G$2:$J$2,0),0),IF(L39="NOx",VLOOKUP(M39,'Emission Factors'!$G$51:$J$66,MATCH(K39,'Emission Factors'!$G$2:$J$2,0),0),VLOOKUP(M39,'Emission Factors'!$G$67:$J$82,MATCH(K39,'Emission Factors'!$G$2:$J$2,0),0)))))</f>
        <v>0.31547700000000001</v>
      </c>
      <c r="P39" s="156">
        <f>IF($L39="CO2eq",VLOOKUP($M39,'Emission Factors'!$G$88:$J$103,MATCH($K39,'Emission Factors'!$G$87:$J$87,0),0),IF(L39="CO",VLOOKUP($M39,'Emission Factors'!$G$104:$J$119,MATCH(K39,'Emission Factors'!$G$2:$J$2,0),0),IF(L39="PM2.5",VLOOKUP(M39,'Emission Factors'!$G$120:$J$135,MATCH(K39,'Emission Factors'!$G$2:$J$2,0),0),IF(L39="NOx",VLOOKUP(M39,'Emission Factors'!$G$136:$J$151,MATCH(K39,'Emission Factors'!$G$2:$J$2,0),0),VLOOKUP(M39,'Emission Factors'!$G$152:$J$167,MATCH(K39,'Emission Factors'!$G$2:$J$2,0),0)))))</f>
        <v>7.1350499999999997E-2</v>
      </c>
      <c r="Q39" s="480">
        <f>IF($L39="CO2eq",VLOOKUP($M39, 'Emission Factors'!G181:J196,MATCH($K39,'Emission Factors'!$G$2:$J$2,0),0),IF(L39="CO",VLOOKUP($M39, 'Emission Factors'!$G$189:$J$204,MATCH(K39,'Emission Factors'!$G$2:$J$2,0),0),IF(L39="PM2.5",VLOOKUP(M39, 'Emission Factors'!$G$205:$J$220,MATCH(K39,'Emission Factors'!$G$2:$J$2,0),0),IF(L39="NOx",VLOOKUP(M39, 'Emission Factors'!$G$221:$J$236,MATCH(K39,'Emission Factors'!$G$2:$J$2,0),0),VLOOKUP(M39, 'Emission Factors'!$G$237:$J$252,MATCH(K39,'Emission Factors'!$G$2:$J$2,0),0)))))</f>
        <v>1.9481600000000002E-2</v>
      </c>
      <c r="R39" s="64"/>
      <c r="S39" s="64"/>
      <c r="T39" s="64"/>
      <c r="U39" s="64"/>
      <c r="V39" s="64"/>
      <c r="W39" s="64"/>
      <c r="X39" s="64"/>
      <c r="Y39" s="64"/>
      <c r="Z39" s="64"/>
      <c r="AA39" s="64"/>
      <c r="AB39" s="64"/>
      <c r="AC39" s="64"/>
      <c r="AD39" s="64"/>
      <c r="AE39" s="64"/>
      <c r="AF39" s="64"/>
      <c r="AG39" s="64"/>
      <c r="AH39" s="64"/>
      <c r="AI39" s="64"/>
      <c r="AJ39" s="64"/>
      <c r="AK39" s="64"/>
      <c r="AL39" s="64"/>
      <c r="AM39" s="64"/>
      <c r="AN39" s="64"/>
    </row>
    <row r="40" spans="1:40" x14ac:dyDescent="0.35">
      <c r="A40" s="1"/>
      <c r="B40" s="105" t="s">
        <v>114</v>
      </c>
      <c r="C40" s="108">
        <f t="shared" si="3"/>
        <v>8.1845177833333356</v>
      </c>
      <c r="D40" s="1"/>
      <c r="E40" s="1"/>
      <c r="F40" s="1"/>
      <c r="G40" s="64"/>
      <c r="H40" s="120">
        <f t="shared" si="5"/>
        <v>8.1845177833333356</v>
      </c>
      <c r="I40" s="64"/>
      <c r="J40" s="64"/>
      <c r="K40" s="49" t="s">
        <v>105</v>
      </c>
      <c r="L40" s="50" t="s">
        <v>115</v>
      </c>
      <c r="M40" s="51">
        <v>35</v>
      </c>
      <c r="N40" s="50" t="s">
        <v>107</v>
      </c>
      <c r="O40" s="52">
        <f>IF(L40="CO2eq",VLOOKUP(M40,'Emission Factors'!$G$3:$J$18,MATCH(K40,'Emission Factors'!$G$2:$J$2,0),0),IF(L40="CO",VLOOKUP($M40,'Emission Factors'!$G$19:$J$34,MATCH(K40,'Emission Factors'!$G$2:$J$2,0),0),IF(L40="PM2.5",VLOOKUP(M40,'Emission Factors'!$G$35:$J$50,MATCH(K40,'Emission Factors'!$G$2:$J$2,0),0),IF(L40="NOx",VLOOKUP(M40,'Emission Factors'!$G$51:$J$66,MATCH(K40,'Emission Factors'!$G$2:$J$2,0),0),VLOOKUP(M40,'Emission Factors'!$G$67:$J$82,MATCH(K40,'Emission Factors'!$G$2:$J$2,0),0)))))</f>
        <v>6.5010700000000005E-2</v>
      </c>
      <c r="P40" s="157">
        <f>IF($L40="CO2eq",VLOOKUP($M40,'Emission Factors'!$G$88:$J$103,MATCH($K40,'Emission Factors'!$G$87:$J$87,0),0),IF(L40="CO",VLOOKUP($M40,'Emission Factors'!$G$104:$J$119,MATCH(K40,'Emission Factors'!$G$2:$J$2,0),0),IF(L40="PM2.5",VLOOKUP(M40,'Emission Factors'!$G$120:$J$135,MATCH(K40,'Emission Factors'!$G$2:$J$2,0),0),IF(L40="NOx",VLOOKUP(M40,'Emission Factors'!$G$136:$J$151,MATCH(K40,'Emission Factors'!$G$2:$J$2,0),0),VLOOKUP(M40,'Emission Factors'!$G$152:$J$167,MATCH(K40,'Emission Factors'!$G$2:$J$2,0),0)))))</f>
        <v>1.6728199999999999E-2</v>
      </c>
      <c r="Q40" s="481">
        <f>IF($L40="CO2eq",VLOOKUP($M40, 'Emission Factors'!G182:J197,MATCH($K40,'Emission Factors'!$G$2:$J$2,0),0),IF(L40="CO",VLOOKUP($M40, 'Emission Factors'!$G$189:$J$204,MATCH(K40,'Emission Factors'!$G$2:$J$2,0),0),IF(L40="PM2.5",VLOOKUP(M40, 'Emission Factors'!$G$205:$J$220,MATCH(K40,'Emission Factors'!$G$2:$J$2,0),0),IF(L40="NOx",VLOOKUP(M40, 'Emission Factors'!$G$221:$J$236,MATCH(K40,'Emission Factors'!$G$2:$J$2,0),0),VLOOKUP(M40, 'Emission Factors'!$G$237:$J$252,MATCH(K40,'Emission Factors'!$G$2:$J$2,0),0)))))</f>
        <v>1.1268800000000001E-2</v>
      </c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</row>
    <row r="41" spans="1:40" x14ac:dyDescent="0.35">
      <c r="A41" s="1"/>
      <c r="B41" s="1"/>
      <c r="C41" s="1"/>
      <c r="D41" s="1"/>
      <c r="E41" s="1"/>
      <c r="F41" s="1"/>
      <c r="G41" s="64"/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4"/>
      <c r="AD41" s="64"/>
      <c r="AE41" s="64"/>
      <c r="AF41" s="64"/>
      <c r="AG41" s="64"/>
      <c r="AH41" s="64"/>
      <c r="AI41" s="64"/>
      <c r="AJ41" s="64"/>
      <c r="AK41" s="64"/>
      <c r="AL41" s="64"/>
      <c r="AM41" s="64"/>
      <c r="AN41" s="64"/>
    </row>
    <row r="42" spans="1:40" x14ac:dyDescent="0.35">
      <c r="A42" s="12"/>
      <c r="B42" s="64"/>
      <c r="C42" s="64"/>
      <c r="D42" s="64"/>
      <c r="E42" s="64"/>
      <c r="F42" s="64"/>
      <c r="G42" s="64"/>
      <c r="H42" s="64"/>
      <c r="I42" s="64"/>
      <c r="J42" s="64"/>
      <c r="K42" s="64"/>
      <c r="L42" s="64"/>
      <c r="M42" s="64"/>
      <c r="N42" s="64"/>
      <c r="O42" s="64"/>
      <c r="P42" s="64"/>
      <c r="Q42" s="64"/>
      <c r="R42" s="64"/>
      <c r="S42" s="64"/>
      <c r="T42" s="64"/>
      <c r="U42" s="64"/>
      <c r="V42" s="64"/>
      <c r="W42" s="64"/>
      <c r="X42" s="64"/>
      <c r="Y42" s="64"/>
      <c r="Z42" s="64"/>
      <c r="AA42" s="64"/>
      <c r="AB42" s="64"/>
      <c r="AC42" s="64"/>
      <c r="AD42" s="64"/>
      <c r="AE42" s="64"/>
      <c r="AF42" s="64"/>
      <c r="AG42" s="64"/>
      <c r="AH42" s="64"/>
      <c r="AI42" s="64"/>
      <c r="AJ42" s="64"/>
      <c r="AK42" s="64"/>
      <c r="AL42" s="64"/>
      <c r="AM42" s="64"/>
      <c r="AN42" s="64"/>
    </row>
    <row r="43" spans="1:40" ht="15.5" x14ac:dyDescent="0.35">
      <c r="A43" s="1"/>
      <c r="B43" s="61" t="s">
        <v>116</v>
      </c>
      <c r="C43" s="1"/>
      <c r="D43" s="1"/>
      <c r="E43" s="60"/>
      <c r="F43" s="60"/>
      <c r="G43" s="64"/>
      <c r="H43" s="64"/>
      <c r="I43" s="64"/>
      <c r="J43" s="64"/>
      <c r="K43" s="64"/>
      <c r="L43" s="64"/>
      <c r="M43" s="64"/>
      <c r="N43" s="64"/>
      <c r="O43" s="64"/>
      <c r="P43" s="64"/>
      <c r="Q43" s="64"/>
      <c r="R43" s="64"/>
      <c r="S43" s="64"/>
      <c r="T43" s="64"/>
      <c r="U43" s="64"/>
      <c r="V43" s="64"/>
      <c r="W43" s="64"/>
      <c r="X43" s="64"/>
      <c r="Y43" s="64"/>
      <c r="Z43" s="64"/>
      <c r="AA43" s="64"/>
      <c r="AB43" s="64"/>
      <c r="AC43" s="64"/>
      <c r="AD43" s="64"/>
      <c r="AE43" s="64"/>
      <c r="AF43" s="64"/>
      <c r="AG43" s="64"/>
      <c r="AH43" s="64"/>
      <c r="AI43" s="64"/>
      <c r="AJ43" s="64"/>
      <c r="AK43" s="64"/>
      <c r="AL43" s="64"/>
      <c r="AM43" s="64"/>
      <c r="AN43" s="64"/>
    </row>
    <row r="44" spans="1:40" x14ac:dyDescent="0.35">
      <c r="A44" s="60"/>
      <c r="B44" s="102" t="s">
        <v>84</v>
      </c>
      <c r="C44" s="102" t="s">
        <v>85</v>
      </c>
      <c r="D44" s="60"/>
      <c r="E44" s="60"/>
      <c r="F44" s="60"/>
      <c r="G44" s="64"/>
      <c r="H44" s="115"/>
      <c r="I44" s="64"/>
      <c r="J44" s="64"/>
      <c r="K44" s="64"/>
      <c r="L44" s="65"/>
      <c r="M44" s="65"/>
      <c r="N44" s="65"/>
      <c r="O44" s="65"/>
      <c r="P44" s="65"/>
      <c r="Q44" s="65"/>
      <c r="R44" s="65"/>
      <c r="S44" s="65"/>
      <c r="T44" s="65"/>
      <c r="U44" s="65"/>
      <c r="V44" s="65"/>
      <c r="W44" s="65"/>
      <c r="X44" s="65"/>
      <c r="Y44" s="65"/>
      <c r="Z44" s="65"/>
      <c r="AA44" s="65"/>
      <c r="AB44" s="65"/>
      <c r="AC44" s="65"/>
      <c r="AD44" s="65"/>
      <c r="AE44" s="65"/>
      <c r="AF44" s="65"/>
      <c r="AG44" s="65"/>
      <c r="AH44" s="65"/>
      <c r="AI44" s="65"/>
      <c r="AJ44" s="65"/>
      <c r="AK44" s="65"/>
      <c r="AL44" s="65"/>
      <c r="AM44" s="65"/>
      <c r="AN44" s="65"/>
    </row>
    <row r="45" spans="1:40" x14ac:dyDescent="0.35">
      <c r="A45" s="60"/>
      <c r="B45" s="112" t="s">
        <v>62</v>
      </c>
      <c r="C45" s="132">
        <f>IF(SUM(I16:I16)&gt;0,"[Error]",H14*(H16-H17)*H15*H24/H23)</f>
        <v>0</v>
      </c>
      <c r="D45" s="60"/>
      <c r="E45" s="60"/>
      <c r="F45" s="60"/>
      <c r="G45" s="64"/>
      <c r="H45" s="123">
        <f>C45</f>
        <v>0</v>
      </c>
      <c r="I45" s="64"/>
      <c r="J45" s="64"/>
      <c r="K45" s="64"/>
      <c r="L45" s="65"/>
      <c r="M45" s="65"/>
      <c r="N45" s="65"/>
      <c r="O45" s="65"/>
      <c r="P45" s="65"/>
      <c r="Q45" s="65"/>
      <c r="R45" s="65"/>
      <c r="S45" s="65"/>
      <c r="T45" s="65"/>
      <c r="U45" s="65"/>
      <c r="V45" s="65"/>
      <c r="W45" s="65"/>
      <c r="X45" s="65"/>
      <c r="Y45" s="65"/>
      <c r="Z45" s="65"/>
      <c r="AA45" s="65"/>
      <c r="AB45" s="65"/>
      <c r="AC45" s="65"/>
      <c r="AD45" s="65"/>
      <c r="AE45" s="65"/>
      <c r="AF45" s="65"/>
      <c r="AG45" s="65"/>
      <c r="AH45" s="65"/>
      <c r="AI45" s="65"/>
      <c r="AJ45" s="65"/>
      <c r="AK45" s="65"/>
      <c r="AL45" s="65"/>
      <c r="AM45" s="65"/>
      <c r="AN45" s="65"/>
    </row>
    <row r="46" spans="1:40" x14ac:dyDescent="0.35">
      <c r="A46" s="60"/>
      <c r="B46" s="111" t="s">
        <v>65</v>
      </c>
      <c r="C46" s="131">
        <f>IF(SUM(I$16:I$16)&gt;0,"[Error]",(H$45*H36-H31*H25)/1000)</f>
        <v>0</v>
      </c>
      <c r="D46" s="60"/>
      <c r="E46" s="60"/>
      <c r="F46" s="60"/>
      <c r="G46" s="64"/>
      <c r="H46" s="123">
        <f>C46</f>
        <v>0</v>
      </c>
      <c r="I46" s="64"/>
      <c r="J46" s="64"/>
      <c r="K46" s="64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  <c r="AA46" s="65"/>
      <c r="AB46" s="65"/>
      <c r="AC46" s="65"/>
      <c r="AD46" s="65"/>
      <c r="AE46" s="65"/>
      <c r="AF46" s="65"/>
      <c r="AG46" s="65"/>
      <c r="AH46" s="65"/>
      <c r="AI46" s="65"/>
      <c r="AJ46" s="65"/>
      <c r="AK46" s="65"/>
      <c r="AL46" s="65"/>
      <c r="AM46" s="65"/>
      <c r="AN46" s="65"/>
    </row>
    <row r="47" spans="1:40" x14ac:dyDescent="0.35">
      <c r="A47" s="60"/>
      <c r="B47" s="111" t="s">
        <v>66</v>
      </c>
      <c r="C47" s="131">
        <f>IF(SUM(I$16:I$16)&gt;0,"[Error]",(H$45*H37 - H32*H25)/1000)</f>
        <v>0</v>
      </c>
      <c r="D47" s="60"/>
      <c r="E47" s="60"/>
      <c r="F47" s="60"/>
      <c r="G47" s="64"/>
      <c r="H47" s="123">
        <f t="shared" ref="H47:H50" si="6">C47</f>
        <v>0</v>
      </c>
      <c r="I47" s="64"/>
      <c r="J47" s="64"/>
      <c r="K47" s="64"/>
      <c r="L47" s="65"/>
      <c r="M47" s="65"/>
      <c r="N47" s="65"/>
      <c r="O47" s="65"/>
      <c r="P47" s="65"/>
      <c r="Q47" s="65"/>
      <c r="R47" s="65"/>
      <c r="S47" s="65"/>
      <c r="T47" s="65"/>
      <c r="U47" s="65"/>
      <c r="V47" s="65"/>
      <c r="W47" s="65"/>
      <c r="X47" s="65"/>
      <c r="Y47" s="65"/>
      <c r="Z47" s="65"/>
      <c r="AA47" s="65"/>
      <c r="AB47" s="65"/>
      <c r="AC47" s="65"/>
      <c r="AD47" s="65"/>
      <c r="AE47" s="65"/>
      <c r="AF47" s="65"/>
      <c r="AG47" s="65"/>
      <c r="AH47" s="65"/>
      <c r="AI47" s="65"/>
      <c r="AJ47" s="65"/>
      <c r="AK47" s="65"/>
      <c r="AL47" s="65"/>
      <c r="AM47" s="65"/>
      <c r="AN47" s="65"/>
    </row>
    <row r="48" spans="1:40" x14ac:dyDescent="0.35">
      <c r="A48" s="60"/>
      <c r="B48" s="111" t="s">
        <v>67</v>
      </c>
      <c r="C48" s="131">
        <f>IF(SUM(I$16:I$16)&gt;0,"[Error]",(H$45*H38-H33*H25)/1000)</f>
        <v>0</v>
      </c>
      <c r="D48" s="1"/>
      <c r="E48" s="1"/>
      <c r="F48" s="1"/>
      <c r="G48" s="64"/>
      <c r="H48" s="123">
        <f t="shared" si="6"/>
        <v>0</v>
      </c>
      <c r="I48" s="64"/>
      <c r="J48" s="64"/>
      <c r="K48" s="64"/>
      <c r="L48" s="64"/>
      <c r="M48" s="65"/>
      <c r="N48" s="65"/>
      <c r="O48" s="65"/>
      <c r="P48" s="65"/>
      <c r="Q48" s="65"/>
      <c r="R48" s="65"/>
      <c r="S48" s="65"/>
      <c r="T48" s="65"/>
      <c r="U48" s="65"/>
      <c r="V48" s="65"/>
      <c r="W48" s="65"/>
      <c r="X48" s="65"/>
      <c r="Y48" s="65"/>
      <c r="Z48" s="65"/>
      <c r="AA48" s="65"/>
      <c r="AB48" s="65"/>
      <c r="AC48" s="65"/>
      <c r="AD48" s="65"/>
      <c r="AE48" s="65"/>
      <c r="AF48" s="65"/>
      <c r="AG48" s="65"/>
      <c r="AH48" s="65"/>
      <c r="AI48" s="65"/>
      <c r="AJ48" s="65"/>
      <c r="AK48" s="65"/>
      <c r="AL48" s="65"/>
      <c r="AM48" s="65"/>
      <c r="AN48" s="65"/>
    </row>
    <row r="49" spans="1:40" x14ac:dyDescent="0.35">
      <c r="A49" s="1"/>
      <c r="B49" s="111" t="s">
        <v>68</v>
      </c>
      <c r="C49" s="131">
        <f>IF(SUM(I$16:I$16)&gt;0,"[Error]",(H$45*H39-H34*H25)/1000)</f>
        <v>0</v>
      </c>
      <c r="D49" s="1"/>
      <c r="E49" s="1"/>
      <c r="F49" s="1"/>
      <c r="G49" s="64"/>
      <c r="H49" s="123">
        <f t="shared" si="6"/>
        <v>0</v>
      </c>
      <c r="I49" s="64"/>
      <c r="J49" s="64"/>
      <c r="K49" s="64"/>
      <c r="L49" s="64"/>
      <c r="M49" s="64"/>
      <c r="N49" s="64"/>
      <c r="O49" s="64"/>
      <c r="P49" s="64"/>
      <c r="Q49" s="64"/>
      <c r="R49" s="64"/>
      <c r="S49" s="64"/>
      <c r="T49" s="64"/>
      <c r="U49" s="64"/>
      <c r="V49" s="64"/>
      <c r="W49" s="64"/>
      <c r="X49" s="64"/>
      <c r="Y49" s="64"/>
      <c r="Z49" s="64"/>
      <c r="AA49" s="64"/>
      <c r="AB49" s="64"/>
      <c r="AC49" s="64"/>
      <c r="AD49" s="64"/>
      <c r="AE49" s="64"/>
      <c r="AF49" s="64"/>
      <c r="AG49" s="64"/>
      <c r="AH49" s="64"/>
      <c r="AI49" s="64"/>
      <c r="AJ49" s="64"/>
      <c r="AK49" s="64"/>
      <c r="AL49" s="64"/>
      <c r="AM49" s="64"/>
      <c r="AN49" s="64"/>
    </row>
    <row r="50" spans="1:40" x14ac:dyDescent="0.35">
      <c r="A50" s="1"/>
      <c r="B50" s="111" t="s">
        <v>69</v>
      </c>
      <c r="C50" s="131">
        <f>IF(SUM(I$16:I$16)&gt;0,"[Error]",(H$45*H40-H35*H25)/1000)</f>
        <v>0</v>
      </c>
      <c r="D50" s="1"/>
      <c r="E50" s="1"/>
      <c r="F50" s="1"/>
      <c r="G50" s="64"/>
      <c r="H50" s="123">
        <f t="shared" si="6"/>
        <v>0</v>
      </c>
      <c r="I50" s="64"/>
      <c r="J50" s="64"/>
      <c r="K50" s="64"/>
      <c r="L50" s="64"/>
      <c r="M50" s="64"/>
      <c r="N50" s="64"/>
      <c r="O50" s="64"/>
      <c r="P50" s="64"/>
      <c r="Q50" s="64"/>
      <c r="R50" s="64"/>
      <c r="S50" s="64"/>
      <c r="T50" s="64"/>
      <c r="U50" s="64"/>
      <c r="V50" s="64"/>
      <c r="W50" s="64"/>
      <c r="X50" s="64"/>
      <c r="Y50" s="64"/>
      <c r="Z50" s="64"/>
      <c r="AA50" s="64"/>
      <c r="AB50" s="64"/>
      <c r="AC50" s="64"/>
      <c r="AD50" s="64"/>
      <c r="AE50" s="64"/>
      <c r="AF50" s="64"/>
      <c r="AG50" s="64"/>
      <c r="AH50" s="64"/>
      <c r="AI50" s="64"/>
      <c r="AJ50" s="64"/>
      <c r="AK50" s="64"/>
      <c r="AL50" s="64"/>
      <c r="AM50" s="64"/>
      <c r="AN50" s="64"/>
    </row>
    <row r="51" spans="1:40" x14ac:dyDescent="0.35">
      <c r="A51" s="1"/>
      <c r="B51" s="1"/>
      <c r="C51" s="1"/>
      <c r="D51" s="1"/>
      <c r="E51" s="1"/>
      <c r="F51" s="1"/>
      <c r="G51" s="64"/>
      <c r="H51" s="64"/>
      <c r="I51" s="64"/>
      <c r="J51" s="64"/>
      <c r="K51" s="64"/>
      <c r="L51" s="64"/>
      <c r="M51" s="64"/>
      <c r="N51" s="64"/>
      <c r="O51" s="64"/>
      <c r="P51" s="64"/>
      <c r="Q51" s="64"/>
      <c r="R51" s="64"/>
      <c r="S51" s="64"/>
      <c r="T51" s="64"/>
      <c r="U51" s="64"/>
      <c r="V51" s="64"/>
      <c r="W51" s="64"/>
      <c r="X51" s="64"/>
      <c r="Y51" s="64"/>
      <c r="Z51" s="64"/>
      <c r="AA51" s="64"/>
      <c r="AB51" s="64"/>
      <c r="AC51" s="64"/>
      <c r="AD51" s="64"/>
      <c r="AE51" s="64"/>
      <c r="AF51" s="64"/>
      <c r="AG51" s="64"/>
      <c r="AH51" s="64"/>
      <c r="AI51" s="64"/>
      <c r="AJ51" s="64"/>
      <c r="AK51" s="64"/>
      <c r="AL51" s="64"/>
      <c r="AM51" s="64"/>
      <c r="AN51" s="64"/>
    </row>
    <row r="52" spans="1:40" x14ac:dyDescent="0.35">
      <c r="A52" s="64"/>
      <c r="B52" s="64"/>
      <c r="C52" s="64"/>
      <c r="D52" s="64"/>
      <c r="E52" s="64"/>
      <c r="F52" s="64"/>
      <c r="G52" s="64"/>
      <c r="H52" s="64"/>
      <c r="I52" s="64"/>
      <c r="J52" s="64"/>
      <c r="K52" s="64"/>
      <c r="L52" s="64"/>
      <c r="M52" s="64"/>
      <c r="N52" s="64"/>
      <c r="O52" s="64"/>
      <c r="P52" s="64"/>
      <c r="Q52" s="64"/>
      <c r="R52" s="64"/>
      <c r="S52" s="64"/>
      <c r="T52" s="64"/>
      <c r="U52" s="64"/>
      <c r="V52" s="64"/>
      <c r="W52" s="64"/>
      <c r="X52" s="64"/>
      <c r="Y52" s="64"/>
      <c r="Z52" s="64"/>
      <c r="AA52" s="64"/>
      <c r="AB52" s="64"/>
      <c r="AC52" s="64"/>
      <c r="AD52" s="64"/>
      <c r="AE52" s="64"/>
      <c r="AF52" s="64"/>
      <c r="AG52" s="64"/>
      <c r="AH52" s="64"/>
      <c r="AI52" s="64"/>
      <c r="AJ52" s="64"/>
      <c r="AK52" s="64"/>
      <c r="AL52" s="64"/>
      <c r="AM52" s="64"/>
      <c r="AN52" s="64"/>
    </row>
    <row r="53" spans="1:40" x14ac:dyDescent="0.35">
      <c r="A53" s="64"/>
      <c r="B53" s="64"/>
      <c r="C53" s="64"/>
      <c r="D53" s="64"/>
      <c r="E53" s="64"/>
      <c r="F53" s="64"/>
      <c r="G53" s="64"/>
      <c r="H53" s="64"/>
      <c r="I53" s="64"/>
      <c r="J53" s="64"/>
      <c r="K53" s="64"/>
      <c r="L53" s="64"/>
      <c r="M53" s="64"/>
      <c r="N53" s="64"/>
      <c r="O53" s="64"/>
      <c r="P53" s="64"/>
      <c r="Q53" s="64"/>
      <c r="R53" s="64"/>
      <c r="S53" s="64"/>
      <c r="T53" s="64"/>
      <c r="U53" s="64"/>
      <c r="V53" s="64"/>
      <c r="W53" s="64"/>
      <c r="X53" s="64"/>
      <c r="Y53" s="64"/>
      <c r="Z53" s="64"/>
      <c r="AA53" s="64"/>
      <c r="AB53" s="64"/>
      <c r="AC53" s="64"/>
      <c r="AD53" s="64"/>
      <c r="AE53" s="64"/>
      <c r="AF53" s="64"/>
      <c r="AG53" s="64"/>
      <c r="AH53" s="64"/>
      <c r="AI53" s="64"/>
      <c r="AJ53" s="64"/>
      <c r="AK53" s="64"/>
      <c r="AL53" s="64"/>
      <c r="AM53" s="64"/>
      <c r="AN53" s="64"/>
    </row>
    <row r="54" spans="1:40" x14ac:dyDescent="0.35">
      <c r="A54" s="64"/>
      <c r="B54" s="64"/>
      <c r="C54" s="64"/>
      <c r="D54" s="64"/>
      <c r="E54" s="64"/>
      <c r="F54" s="64"/>
      <c r="G54" s="64"/>
      <c r="H54" s="64"/>
      <c r="I54" s="64"/>
      <c r="J54" s="64"/>
      <c r="K54" s="64"/>
      <c r="L54" s="64"/>
      <c r="M54" s="64"/>
      <c r="N54" s="64"/>
      <c r="O54" s="64"/>
      <c r="P54" s="64"/>
      <c r="Q54" s="64"/>
      <c r="R54" s="64"/>
      <c r="S54" s="64"/>
      <c r="T54" s="64"/>
      <c r="U54" s="64"/>
      <c r="V54" s="64"/>
      <c r="W54" s="64"/>
      <c r="X54" s="64"/>
      <c r="Y54" s="64"/>
      <c r="Z54" s="64"/>
      <c r="AA54" s="64"/>
      <c r="AB54" s="64"/>
      <c r="AC54" s="64"/>
      <c r="AD54" s="64"/>
      <c r="AE54" s="64"/>
      <c r="AF54" s="64"/>
      <c r="AG54" s="64"/>
      <c r="AH54" s="64"/>
      <c r="AI54" s="64"/>
      <c r="AJ54" s="64"/>
      <c r="AK54" s="64"/>
      <c r="AL54" s="64"/>
      <c r="AM54" s="64"/>
      <c r="AN54" s="64"/>
    </row>
    <row r="55" spans="1:40" x14ac:dyDescent="0.35">
      <c r="A55" s="64"/>
      <c r="B55" s="64"/>
      <c r="C55" s="64"/>
      <c r="D55" s="64"/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64"/>
      <c r="P55" s="64"/>
      <c r="Q55" s="64"/>
      <c r="R55" s="64"/>
      <c r="S55" s="64"/>
      <c r="T55" s="64"/>
      <c r="U55" s="64"/>
      <c r="V55" s="64"/>
      <c r="W55" s="64"/>
      <c r="X55" s="64"/>
      <c r="Y55" s="64"/>
      <c r="Z55" s="64"/>
      <c r="AA55" s="64"/>
      <c r="AB55" s="64"/>
      <c r="AC55" s="64"/>
      <c r="AD55" s="64"/>
      <c r="AE55" s="64"/>
      <c r="AF55" s="64"/>
      <c r="AG55" s="64"/>
      <c r="AH55" s="64"/>
      <c r="AI55" s="64"/>
      <c r="AJ55" s="64"/>
      <c r="AK55" s="64"/>
      <c r="AL55" s="64"/>
      <c r="AM55" s="64"/>
      <c r="AN55" s="64"/>
    </row>
    <row r="56" spans="1:40" x14ac:dyDescent="0.35">
      <c r="A56" s="64"/>
      <c r="B56" s="64"/>
      <c r="C56" s="64"/>
      <c r="D56" s="64"/>
      <c r="E56" s="64"/>
      <c r="F56" s="64"/>
      <c r="G56" s="64"/>
      <c r="H56" s="64"/>
      <c r="I56" s="64"/>
      <c r="J56" s="64"/>
      <c r="K56" s="64"/>
      <c r="L56" s="64"/>
      <c r="M56" s="64"/>
      <c r="N56" s="64"/>
      <c r="O56" s="64"/>
      <c r="P56" s="64"/>
      <c r="Q56" s="64"/>
      <c r="R56" s="64"/>
      <c r="S56" s="64"/>
      <c r="T56" s="64"/>
      <c r="U56" s="64"/>
      <c r="V56" s="64"/>
      <c r="W56" s="64"/>
      <c r="X56" s="64"/>
      <c r="Y56" s="64"/>
      <c r="Z56" s="64"/>
      <c r="AA56" s="64"/>
      <c r="AB56" s="64"/>
      <c r="AC56" s="64"/>
      <c r="AD56" s="64"/>
      <c r="AE56" s="64"/>
      <c r="AF56" s="64"/>
      <c r="AG56" s="64"/>
      <c r="AH56" s="64"/>
      <c r="AI56" s="64"/>
      <c r="AJ56" s="64"/>
      <c r="AK56" s="64"/>
      <c r="AL56" s="64"/>
      <c r="AM56" s="64"/>
      <c r="AN56" s="64"/>
    </row>
    <row r="57" spans="1:40" x14ac:dyDescent="0.35">
      <c r="A57" s="64"/>
      <c r="B57" s="64"/>
      <c r="C57" s="64"/>
      <c r="D57" s="64"/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64"/>
      <c r="V57" s="64"/>
      <c r="W57" s="64"/>
      <c r="X57" s="64"/>
      <c r="Y57" s="64"/>
      <c r="Z57" s="64"/>
      <c r="AA57" s="64"/>
      <c r="AB57" s="64"/>
      <c r="AC57" s="64"/>
      <c r="AD57" s="64"/>
      <c r="AE57" s="64"/>
      <c r="AF57" s="64"/>
      <c r="AG57" s="64"/>
      <c r="AH57" s="64"/>
      <c r="AI57" s="64"/>
      <c r="AJ57" s="64"/>
      <c r="AK57" s="64"/>
      <c r="AL57" s="64"/>
      <c r="AM57" s="64"/>
      <c r="AN57" s="64"/>
    </row>
    <row r="58" spans="1:40" x14ac:dyDescent="0.35">
      <c r="A58" s="64"/>
      <c r="B58" s="64"/>
      <c r="C58" s="64"/>
      <c r="D58" s="64"/>
      <c r="E58" s="64"/>
      <c r="F58" s="64"/>
      <c r="G58" s="64"/>
      <c r="H58" s="64"/>
      <c r="I58" s="64"/>
      <c r="J58" s="64"/>
      <c r="K58" s="64"/>
      <c r="L58" s="64"/>
      <c r="M58" s="64"/>
      <c r="N58" s="64"/>
      <c r="O58" s="64"/>
      <c r="P58" s="64"/>
      <c r="Q58" s="64"/>
      <c r="R58" s="64"/>
      <c r="S58" s="64"/>
      <c r="T58" s="64"/>
      <c r="U58" s="64"/>
      <c r="V58" s="64"/>
      <c r="W58" s="64"/>
      <c r="X58" s="64"/>
      <c r="Y58" s="64"/>
      <c r="Z58" s="64"/>
      <c r="AA58" s="64"/>
      <c r="AB58" s="64"/>
      <c r="AC58" s="64"/>
      <c r="AD58" s="64"/>
      <c r="AE58" s="64"/>
      <c r="AF58" s="64"/>
      <c r="AG58" s="64"/>
      <c r="AH58" s="64"/>
      <c r="AI58" s="64"/>
      <c r="AJ58" s="64"/>
      <c r="AK58" s="64"/>
      <c r="AL58" s="64"/>
      <c r="AM58" s="64"/>
      <c r="AN58" s="64"/>
    </row>
    <row r="59" spans="1:40" x14ac:dyDescent="0.35">
      <c r="A59" s="64"/>
      <c r="B59" s="64"/>
      <c r="C59" s="64"/>
      <c r="D59" s="64"/>
      <c r="E59" s="64"/>
      <c r="F59" s="64"/>
      <c r="G59" s="64"/>
      <c r="H59" s="64"/>
      <c r="I59" s="64"/>
      <c r="J59" s="64"/>
      <c r="K59" s="64"/>
      <c r="L59" s="64"/>
      <c r="M59" s="64"/>
      <c r="N59" s="64"/>
      <c r="O59" s="64"/>
      <c r="P59" s="64"/>
      <c r="Q59" s="64"/>
      <c r="R59" s="64"/>
      <c r="S59" s="64"/>
      <c r="T59" s="64"/>
      <c r="U59" s="64"/>
      <c r="V59" s="64"/>
      <c r="W59" s="64"/>
      <c r="X59" s="64"/>
      <c r="Y59" s="64"/>
      <c r="Z59" s="64"/>
      <c r="AA59" s="64"/>
      <c r="AB59" s="64"/>
      <c r="AC59" s="64"/>
      <c r="AD59" s="64"/>
      <c r="AE59" s="64"/>
      <c r="AF59" s="64"/>
      <c r="AG59" s="64"/>
      <c r="AH59" s="64"/>
      <c r="AI59" s="64"/>
      <c r="AJ59" s="64"/>
      <c r="AK59" s="64"/>
      <c r="AL59" s="64"/>
      <c r="AM59" s="64"/>
      <c r="AN59" s="64"/>
    </row>
    <row r="60" spans="1:40" x14ac:dyDescent="0.35">
      <c r="A60" s="64"/>
      <c r="B60" s="64"/>
      <c r="C60" s="64"/>
      <c r="D60" s="64"/>
      <c r="E60" s="64"/>
      <c r="F60" s="64"/>
      <c r="G60" s="64"/>
      <c r="H60" s="64"/>
      <c r="I60" s="64"/>
      <c r="J60" s="64"/>
      <c r="K60" s="64"/>
      <c r="L60" s="64"/>
      <c r="M60" s="64"/>
      <c r="N60" s="64"/>
      <c r="O60" s="64"/>
      <c r="P60" s="64"/>
      <c r="Q60" s="64"/>
      <c r="R60" s="64"/>
      <c r="S60" s="64"/>
      <c r="T60" s="64"/>
      <c r="U60" s="64"/>
      <c r="V60" s="64"/>
      <c r="W60" s="64"/>
      <c r="X60" s="64"/>
      <c r="Y60" s="64"/>
      <c r="Z60" s="64"/>
      <c r="AA60" s="64"/>
      <c r="AB60" s="64"/>
      <c r="AC60" s="64"/>
      <c r="AD60" s="64"/>
      <c r="AE60" s="64"/>
      <c r="AF60" s="64"/>
      <c r="AG60" s="64"/>
      <c r="AH60" s="64"/>
      <c r="AI60" s="64"/>
      <c r="AJ60" s="64"/>
      <c r="AK60" s="64"/>
      <c r="AL60" s="64"/>
      <c r="AM60" s="64"/>
      <c r="AN60" s="64"/>
    </row>
    <row r="61" spans="1:40" x14ac:dyDescent="0.35">
      <c r="A61" s="64"/>
      <c r="B61" s="64"/>
      <c r="C61" s="64"/>
      <c r="D61" s="64"/>
      <c r="E61" s="64"/>
      <c r="F61" s="64"/>
      <c r="G61" s="64"/>
      <c r="H61" s="64"/>
      <c r="I61" s="64"/>
      <c r="J61" s="64"/>
      <c r="K61" s="64"/>
      <c r="L61" s="64"/>
      <c r="M61" s="64"/>
      <c r="N61" s="64"/>
      <c r="O61" s="64"/>
      <c r="P61" s="64"/>
      <c r="Q61" s="64"/>
      <c r="R61" s="64"/>
      <c r="S61" s="64"/>
      <c r="T61" s="64"/>
      <c r="U61" s="64"/>
      <c r="V61" s="64"/>
      <c r="W61" s="64"/>
      <c r="X61" s="64"/>
      <c r="Y61" s="64"/>
      <c r="Z61" s="64"/>
      <c r="AA61" s="64"/>
      <c r="AB61" s="64"/>
      <c r="AC61" s="64"/>
      <c r="AD61" s="64"/>
      <c r="AE61" s="64"/>
      <c r="AF61" s="64"/>
      <c r="AG61" s="64"/>
      <c r="AH61" s="64"/>
      <c r="AI61" s="64"/>
      <c r="AJ61" s="64"/>
      <c r="AK61" s="64"/>
      <c r="AL61" s="64"/>
      <c r="AM61" s="64"/>
      <c r="AN61" s="64"/>
    </row>
    <row r="62" spans="1:40" x14ac:dyDescent="0.35">
      <c r="A62" s="64"/>
      <c r="B62" s="64"/>
      <c r="C62" s="64"/>
      <c r="D62" s="64"/>
      <c r="E62" s="64"/>
      <c r="F62" s="64"/>
      <c r="G62" s="64"/>
      <c r="H62" s="64"/>
      <c r="I62" s="64"/>
      <c r="J62" s="64"/>
      <c r="K62" s="64"/>
      <c r="L62" s="64"/>
      <c r="M62" s="64"/>
      <c r="N62" s="64"/>
      <c r="O62" s="64"/>
      <c r="P62" s="64"/>
      <c r="Q62" s="64"/>
      <c r="R62" s="64"/>
      <c r="S62" s="64"/>
      <c r="T62" s="64"/>
      <c r="U62" s="64"/>
      <c r="V62" s="64"/>
      <c r="W62" s="64"/>
      <c r="X62" s="64"/>
      <c r="Y62" s="64"/>
      <c r="Z62" s="64"/>
      <c r="AA62" s="64"/>
      <c r="AB62" s="64"/>
      <c r="AC62" s="64"/>
      <c r="AD62" s="64"/>
      <c r="AE62" s="64"/>
      <c r="AF62" s="64"/>
      <c r="AG62" s="64"/>
      <c r="AH62" s="64"/>
      <c r="AI62" s="64"/>
      <c r="AJ62" s="64"/>
      <c r="AK62" s="64"/>
      <c r="AL62" s="64"/>
      <c r="AM62" s="64"/>
      <c r="AN62" s="64"/>
    </row>
    <row r="63" spans="1:40" x14ac:dyDescent="0.35">
      <c r="A63" s="64"/>
      <c r="B63" s="64"/>
      <c r="C63" s="64"/>
      <c r="D63" s="64"/>
      <c r="E63" s="64"/>
      <c r="F63" s="64"/>
      <c r="G63" s="64"/>
      <c r="H63" s="64"/>
      <c r="I63" s="64"/>
      <c r="J63" s="64"/>
      <c r="K63" s="64"/>
      <c r="L63" s="64"/>
      <c r="M63" s="64"/>
      <c r="N63" s="64"/>
      <c r="O63" s="64"/>
      <c r="P63" s="64"/>
      <c r="Q63" s="64"/>
      <c r="R63" s="64"/>
      <c r="S63" s="64"/>
      <c r="T63" s="64"/>
      <c r="U63" s="64"/>
      <c r="V63" s="64"/>
      <c r="W63" s="64"/>
      <c r="X63" s="64"/>
      <c r="Y63" s="64"/>
      <c r="Z63" s="64"/>
      <c r="AA63" s="64"/>
      <c r="AB63" s="64"/>
      <c r="AC63" s="64"/>
      <c r="AD63" s="64"/>
      <c r="AE63" s="64"/>
      <c r="AF63" s="64"/>
      <c r="AG63" s="64"/>
      <c r="AH63" s="64"/>
      <c r="AI63" s="64"/>
      <c r="AJ63" s="64"/>
      <c r="AK63" s="64"/>
      <c r="AL63" s="64"/>
      <c r="AM63" s="64"/>
      <c r="AN63" s="64"/>
    </row>
    <row r="64" spans="1:40" x14ac:dyDescent="0.35">
      <c r="A64" s="64"/>
      <c r="B64" s="64"/>
      <c r="C64" s="64"/>
      <c r="D64" s="64"/>
      <c r="E64" s="64"/>
      <c r="F64" s="64"/>
      <c r="G64" s="64"/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64"/>
      <c r="V64" s="64"/>
      <c r="W64" s="64"/>
      <c r="X64" s="64"/>
      <c r="Y64" s="64"/>
      <c r="Z64" s="64"/>
      <c r="AA64" s="64"/>
      <c r="AB64" s="64"/>
      <c r="AC64" s="64"/>
      <c r="AD64" s="64"/>
      <c r="AE64" s="64"/>
      <c r="AF64" s="64"/>
      <c r="AG64" s="64"/>
      <c r="AH64" s="64"/>
      <c r="AI64" s="64"/>
      <c r="AJ64" s="64"/>
      <c r="AK64" s="64"/>
      <c r="AL64" s="64"/>
      <c r="AM64" s="64"/>
      <c r="AN64" s="64"/>
    </row>
    <row r="65" spans="1:40" x14ac:dyDescent="0.35">
      <c r="A65" s="64"/>
      <c r="B65" s="64"/>
      <c r="C65" s="64"/>
      <c r="D65" s="64"/>
      <c r="E65" s="64"/>
      <c r="F65" s="64"/>
      <c r="G65" s="64"/>
      <c r="H65" s="64"/>
      <c r="I65" s="64"/>
      <c r="J65" s="64"/>
      <c r="K65" s="64"/>
      <c r="L65" s="64"/>
      <c r="M65" s="64"/>
      <c r="N65" s="64"/>
      <c r="O65" s="64"/>
      <c r="P65" s="64"/>
      <c r="Q65" s="64"/>
      <c r="R65" s="64"/>
      <c r="S65" s="64"/>
      <c r="T65" s="64"/>
      <c r="U65" s="64"/>
      <c r="V65" s="64"/>
      <c r="W65" s="64"/>
      <c r="X65" s="64"/>
      <c r="Y65" s="64"/>
      <c r="Z65" s="64"/>
      <c r="AA65" s="64"/>
      <c r="AB65" s="64"/>
      <c r="AC65" s="64"/>
      <c r="AD65" s="64"/>
      <c r="AE65" s="64"/>
      <c r="AF65" s="64"/>
      <c r="AG65" s="64"/>
      <c r="AH65" s="64"/>
      <c r="AI65" s="64"/>
      <c r="AJ65" s="64"/>
      <c r="AK65" s="64"/>
      <c r="AL65" s="64"/>
      <c r="AM65" s="64"/>
      <c r="AN65" s="64"/>
    </row>
    <row r="66" spans="1:40" x14ac:dyDescent="0.35">
      <c r="A66" s="64"/>
      <c r="B66" s="64"/>
      <c r="C66" s="64"/>
      <c r="D66" s="64"/>
      <c r="E66" s="64"/>
      <c r="F66" s="64"/>
      <c r="G66" s="64"/>
      <c r="H66" s="64"/>
      <c r="I66" s="64"/>
      <c r="J66" s="64"/>
      <c r="K66" s="64"/>
      <c r="L66" s="64"/>
      <c r="M66" s="64"/>
      <c r="N66" s="64"/>
      <c r="O66" s="64"/>
      <c r="P66" s="64"/>
      <c r="Q66" s="64"/>
      <c r="R66" s="64"/>
      <c r="S66" s="64"/>
      <c r="T66" s="64"/>
      <c r="U66" s="64"/>
      <c r="V66" s="64"/>
      <c r="W66" s="64"/>
      <c r="X66" s="64"/>
      <c r="Y66" s="64"/>
      <c r="Z66" s="64"/>
      <c r="AA66" s="64"/>
      <c r="AB66" s="64"/>
      <c r="AC66" s="64"/>
      <c r="AD66" s="64"/>
      <c r="AE66" s="64"/>
      <c r="AF66" s="64"/>
      <c r="AG66" s="64"/>
      <c r="AH66" s="64"/>
      <c r="AI66" s="64"/>
      <c r="AJ66" s="64"/>
      <c r="AK66" s="64"/>
      <c r="AL66" s="64"/>
      <c r="AM66" s="64"/>
      <c r="AN66" s="64"/>
    </row>
    <row r="67" spans="1:40" x14ac:dyDescent="0.35">
      <c r="A67" s="64"/>
      <c r="B67" s="64"/>
      <c r="C67" s="64"/>
      <c r="D67" s="64"/>
      <c r="E67" s="64"/>
      <c r="F67" s="64"/>
      <c r="G67" s="64"/>
      <c r="H67" s="64"/>
      <c r="I67" s="64"/>
      <c r="J67" s="64"/>
      <c r="K67" s="64"/>
      <c r="L67" s="64"/>
      <c r="M67" s="64"/>
      <c r="N67" s="64"/>
      <c r="O67" s="64"/>
      <c r="P67" s="64"/>
      <c r="Q67" s="64"/>
      <c r="R67" s="64"/>
      <c r="S67" s="64"/>
      <c r="T67" s="64"/>
      <c r="U67" s="64"/>
      <c r="V67" s="64"/>
      <c r="W67" s="64"/>
      <c r="X67" s="64"/>
      <c r="Y67" s="64"/>
      <c r="Z67" s="64"/>
      <c r="AA67" s="64"/>
      <c r="AB67" s="64"/>
      <c r="AC67" s="64"/>
      <c r="AD67" s="64"/>
      <c r="AE67" s="64"/>
      <c r="AF67" s="64"/>
      <c r="AG67" s="64"/>
      <c r="AH67" s="64"/>
      <c r="AI67" s="64"/>
      <c r="AJ67" s="64"/>
      <c r="AK67" s="64"/>
      <c r="AL67" s="64"/>
      <c r="AM67" s="64"/>
      <c r="AN67" s="64"/>
    </row>
    <row r="68" spans="1:40" x14ac:dyDescent="0.35">
      <c r="A68" s="64"/>
      <c r="B68" s="64"/>
      <c r="C68" s="64"/>
      <c r="D68" s="64"/>
      <c r="E68" s="64"/>
      <c r="F68" s="64"/>
      <c r="G68" s="64"/>
      <c r="H68" s="64"/>
      <c r="I68" s="64"/>
      <c r="J68" s="64"/>
      <c r="K68" s="64"/>
      <c r="L68" s="64"/>
      <c r="M68" s="64"/>
      <c r="N68" s="64"/>
      <c r="O68" s="64"/>
      <c r="P68" s="64"/>
      <c r="Q68" s="64"/>
      <c r="R68" s="64"/>
      <c r="S68" s="64"/>
      <c r="T68" s="64"/>
      <c r="U68" s="64"/>
      <c r="V68" s="64"/>
      <c r="W68" s="64"/>
      <c r="X68" s="64"/>
      <c r="Y68" s="64"/>
      <c r="Z68" s="64"/>
      <c r="AA68" s="64"/>
      <c r="AB68" s="64"/>
      <c r="AC68" s="64"/>
      <c r="AD68" s="64"/>
      <c r="AE68" s="64"/>
      <c r="AF68" s="64"/>
      <c r="AG68" s="64"/>
      <c r="AH68" s="64"/>
      <c r="AI68" s="64"/>
      <c r="AJ68" s="64"/>
      <c r="AK68" s="64"/>
      <c r="AL68" s="64"/>
      <c r="AM68" s="64"/>
      <c r="AN68" s="64"/>
    </row>
    <row r="69" spans="1:40" x14ac:dyDescent="0.35">
      <c r="A69" s="64"/>
      <c r="B69" s="64"/>
      <c r="C69" s="64"/>
      <c r="D69" s="64"/>
      <c r="E69" s="64"/>
      <c r="F69" s="64"/>
      <c r="G69" s="64"/>
      <c r="H69" s="64"/>
      <c r="I69" s="64"/>
      <c r="J69" s="64"/>
      <c r="K69" s="64"/>
      <c r="L69" s="64"/>
      <c r="M69" s="64"/>
      <c r="N69" s="64"/>
      <c r="O69" s="64"/>
      <c r="P69" s="64"/>
      <c r="Q69" s="64"/>
      <c r="R69" s="64"/>
      <c r="S69" s="64"/>
      <c r="T69" s="64"/>
      <c r="U69" s="64"/>
      <c r="V69" s="64"/>
      <c r="W69" s="64"/>
      <c r="X69" s="64"/>
      <c r="Y69" s="64"/>
      <c r="Z69" s="64"/>
      <c r="AA69" s="64"/>
      <c r="AB69" s="64"/>
      <c r="AC69" s="64"/>
      <c r="AD69" s="64"/>
      <c r="AE69" s="64"/>
      <c r="AF69" s="64"/>
      <c r="AG69" s="64"/>
      <c r="AH69" s="64"/>
      <c r="AI69" s="64"/>
      <c r="AJ69" s="64"/>
      <c r="AK69" s="64"/>
      <c r="AL69" s="64"/>
      <c r="AM69" s="64"/>
      <c r="AN69" s="64"/>
    </row>
    <row r="70" spans="1:40" x14ac:dyDescent="0.35">
      <c r="A70" s="64"/>
      <c r="B70" s="64"/>
      <c r="C70" s="64"/>
      <c r="D70" s="64"/>
      <c r="E70" s="64"/>
      <c r="F70" s="64"/>
      <c r="G70" s="64"/>
      <c r="H70" s="64"/>
      <c r="I70" s="64"/>
      <c r="J70" s="64"/>
      <c r="K70" s="64"/>
      <c r="L70" s="64"/>
      <c r="M70" s="64"/>
      <c r="N70" s="64"/>
      <c r="O70" s="64"/>
      <c r="P70" s="64"/>
      <c r="Q70" s="64"/>
      <c r="R70" s="64"/>
      <c r="S70" s="64"/>
      <c r="T70" s="64"/>
      <c r="U70" s="64"/>
      <c r="V70" s="64"/>
      <c r="W70" s="64"/>
      <c r="X70" s="64"/>
      <c r="Y70" s="64"/>
      <c r="Z70" s="64"/>
      <c r="AA70" s="64"/>
      <c r="AB70" s="64"/>
      <c r="AC70" s="64"/>
      <c r="AD70" s="64"/>
      <c r="AE70" s="64"/>
      <c r="AF70" s="64"/>
      <c r="AG70" s="64"/>
      <c r="AH70" s="64"/>
      <c r="AI70" s="64"/>
      <c r="AJ70" s="64"/>
      <c r="AK70" s="64"/>
      <c r="AL70" s="64"/>
      <c r="AM70" s="64"/>
      <c r="AN70" s="64"/>
    </row>
    <row r="71" spans="1:40" x14ac:dyDescent="0.35">
      <c r="A71" s="64"/>
      <c r="B71" s="64"/>
      <c r="C71" s="64"/>
      <c r="D71" s="64"/>
      <c r="E71" s="64"/>
      <c r="F71" s="64"/>
      <c r="G71" s="64"/>
      <c r="H71" s="64"/>
      <c r="I71" s="64"/>
      <c r="J71" s="64"/>
      <c r="K71" s="64"/>
      <c r="L71" s="64"/>
      <c r="M71" s="64"/>
      <c r="N71" s="64"/>
      <c r="O71" s="64"/>
      <c r="P71" s="64"/>
      <c r="Q71" s="64"/>
      <c r="R71" s="64"/>
      <c r="S71" s="64"/>
      <c r="T71" s="64"/>
      <c r="U71" s="64"/>
      <c r="V71" s="64"/>
      <c r="W71" s="64"/>
      <c r="X71" s="64"/>
      <c r="Y71" s="64"/>
      <c r="Z71" s="64"/>
      <c r="AA71" s="64"/>
      <c r="AB71" s="64"/>
      <c r="AC71" s="64"/>
      <c r="AD71" s="64"/>
      <c r="AE71" s="64"/>
      <c r="AF71" s="64"/>
      <c r="AG71" s="64"/>
      <c r="AH71" s="64"/>
      <c r="AI71" s="64"/>
      <c r="AJ71" s="64"/>
      <c r="AK71" s="64"/>
      <c r="AL71" s="64"/>
      <c r="AM71" s="64"/>
      <c r="AN71" s="64"/>
    </row>
    <row r="72" spans="1:40" x14ac:dyDescent="0.35">
      <c r="A72" s="64"/>
      <c r="B72" s="64"/>
      <c r="C72" s="64"/>
      <c r="D72" s="64"/>
      <c r="E72" s="64"/>
      <c r="F72" s="64"/>
      <c r="G72" s="64"/>
      <c r="H72" s="64"/>
      <c r="I72" s="64"/>
      <c r="J72" s="64"/>
      <c r="K72" s="64"/>
      <c r="L72" s="64"/>
      <c r="M72" s="64"/>
      <c r="N72" s="64"/>
      <c r="O72" s="64"/>
      <c r="P72" s="64"/>
      <c r="Q72" s="64"/>
      <c r="R72" s="64"/>
      <c r="S72" s="64"/>
      <c r="T72" s="64"/>
      <c r="U72" s="64"/>
      <c r="V72" s="64"/>
      <c r="W72" s="64"/>
      <c r="X72" s="64"/>
      <c r="Y72" s="64"/>
      <c r="Z72" s="64"/>
      <c r="AA72" s="64"/>
      <c r="AB72" s="64"/>
      <c r="AC72" s="64"/>
      <c r="AD72" s="64"/>
      <c r="AE72" s="64"/>
      <c r="AF72" s="64"/>
      <c r="AG72" s="64"/>
      <c r="AH72" s="64"/>
      <c r="AI72" s="64"/>
      <c r="AJ72" s="64"/>
      <c r="AK72" s="64"/>
      <c r="AL72" s="64"/>
      <c r="AM72" s="64"/>
      <c r="AN72" s="64"/>
    </row>
    <row r="73" spans="1:40" x14ac:dyDescent="0.35">
      <c r="A73" s="64"/>
      <c r="B73" s="64"/>
      <c r="C73" s="64"/>
      <c r="D73" s="64"/>
      <c r="E73" s="64"/>
      <c r="F73" s="64"/>
      <c r="G73" s="64"/>
      <c r="H73" s="64"/>
      <c r="I73" s="64"/>
      <c r="J73" s="64"/>
      <c r="K73" s="64"/>
      <c r="L73" s="64"/>
      <c r="M73" s="64"/>
      <c r="N73" s="64"/>
      <c r="O73" s="64"/>
      <c r="P73" s="64"/>
      <c r="Q73" s="64"/>
      <c r="R73" s="64"/>
      <c r="S73" s="64"/>
      <c r="T73" s="64"/>
      <c r="U73" s="64"/>
      <c r="V73" s="64"/>
      <c r="W73" s="64"/>
      <c r="X73" s="64"/>
      <c r="Y73" s="64"/>
      <c r="Z73" s="64"/>
      <c r="AA73" s="64"/>
      <c r="AB73" s="64"/>
      <c r="AC73" s="64"/>
      <c r="AD73" s="64"/>
      <c r="AE73" s="64"/>
      <c r="AF73" s="64"/>
      <c r="AG73" s="64"/>
      <c r="AH73" s="64"/>
      <c r="AI73" s="64"/>
      <c r="AJ73" s="64"/>
      <c r="AK73" s="64"/>
      <c r="AL73" s="64"/>
      <c r="AM73" s="64"/>
      <c r="AN73" s="64"/>
    </row>
    <row r="74" spans="1:40" x14ac:dyDescent="0.35">
      <c r="A74" s="64"/>
      <c r="B74" s="64"/>
      <c r="C74" s="64"/>
      <c r="D74" s="64"/>
      <c r="E74" s="64"/>
      <c r="F74" s="64"/>
      <c r="G74" s="64"/>
      <c r="H74" s="64"/>
      <c r="I74" s="64"/>
      <c r="J74" s="64"/>
      <c r="K74" s="64"/>
      <c r="L74" s="64"/>
      <c r="M74" s="64"/>
      <c r="N74" s="64"/>
      <c r="O74" s="64"/>
      <c r="P74" s="64"/>
      <c r="Q74" s="64"/>
      <c r="R74" s="64"/>
      <c r="S74" s="64"/>
      <c r="T74" s="64"/>
      <c r="U74" s="64"/>
      <c r="V74" s="64"/>
      <c r="W74" s="64"/>
      <c r="X74" s="64"/>
      <c r="Y74" s="64"/>
      <c r="Z74" s="64"/>
      <c r="AA74" s="64"/>
      <c r="AB74" s="64"/>
      <c r="AC74" s="64"/>
      <c r="AD74" s="64"/>
      <c r="AE74" s="64"/>
      <c r="AF74" s="64"/>
      <c r="AG74" s="64"/>
      <c r="AH74" s="64"/>
      <c r="AI74" s="64"/>
      <c r="AJ74" s="64"/>
      <c r="AK74" s="64"/>
      <c r="AL74" s="64"/>
      <c r="AM74" s="64"/>
      <c r="AN74" s="64"/>
    </row>
    <row r="75" spans="1:40" x14ac:dyDescent="0.35">
      <c r="A75" s="64"/>
      <c r="B75" s="64"/>
      <c r="C75" s="64"/>
      <c r="D75" s="64"/>
      <c r="E75" s="64"/>
      <c r="F75" s="64"/>
      <c r="G75" s="64"/>
      <c r="H75" s="64"/>
      <c r="I75" s="64"/>
      <c r="J75" s="64"/>
      <c r="K75" s="64"/>
      <c r="L75" s="64"/>
      <c r="M75" s="64"/>
      <c r="N75" s="64"/>
      <c r="O75" s="64"/>
      <c r="P75" s="64"/>
      <c r="Q75" s="64"/>
      <c r="R75" s="64"/>
      <c r="S75" s="64"/>
      <c r="T75" s="64"/>
      <c r="U75" s="64"/>
      <c r="V75" s="64"/>
      <c r="W75" s="64"/>
      <c r="X75" s="64"/>
      <c r="Y75" s="64"/>
      <c r="Z75" s="64"/>
      <c r="AA75" s="64"/>
      <c r="AB75" s="64"/>
      <c r="AC75" s="64"/>
      <c r="AD75" s="64"/>
      <c r="AE75" s="64"/>
      <c r="AF75" s="64"/>
      <c r="AG75" s="64"/>
      <c r="AH75" s="64"/>
      <c r="AI75" s="64"/>
      <c r="AJ75" s="64"/>
      <c r="AK75" s="64"/>
      <c r="AL75" s="64"/>
      <c r="AM75" s="64"/>
      <c r="AN75" s="64"/>
    </row>
    <row r="76" spans="1:40" x14ac:dyDescent="0.35">
      <c r="A76" s="64"/>
      <c r="B76" s="64"/>
      <c r="C76" s="64"/>
      <c r="D76" s="64"/>
      <c r="E76" s="64"/>
      <c r="F76" s="64"/>
      <c r="G76" s="64"/>
      <c r="H76" s="64"/>
      <c r="I76" s="64"/>
      <c r="J76" s="64"/>
      <c r="K76" s="64"/>
      <c r="L76" s="64"/>
      <c r="M76" s="64"/>
      <c r="N76" s="64"/>
      <c r="O76" s="64"/>
      <c r="P76" s="64"/>
      <c r="Q76" s="64"/>
      <c r="R76" s="64"/>
      <c r="S76" s="64"/>
      <c r="T76" s="64"/>
      <c r="U76" s="64"/>
      <c r="V76" s="64"/>
      <c r="W76" s="64"/>
      <c r="X76" s="64"/>
      <c r="Y76" s="64"/>
      <c r="Z76" s="64"/>
      <c r="AA76" s="64"/>
      <c r="AB76" s="64"/>
      <c r="AC76" s="64"/>
      <c r="AD76" s="64"/>
      <c r="AE76" s="64"/>
      <c r="AF76" s="64"/>
      <c r="AG76" s="64"/>
      <c r="AH76" s="64"/>
      <c r="AI76" s="64"/>
      <c r="AJ76" s="64"/>
      <c r="AK76" s="64"/>
      <c r="AL76" s="64"/>
      <c r="AM76" s="64"/>
      <c r="AN76" s="64"/>
    </row>
    <row r="77" spans="1:40" x14ac:dyDescent="0.35">
      <c r="A77" s="64"/>
      <c r="B77" s="64"/>
      <c r="C77" s="64"/>
      <c r="D77" s="64"/>
      <c r="E77" s="64"/>
      <c r="F77" s="64"/>
      <c r="G77" s="64"/>
      <c r="H77" s="64"/>
      <c r="I77" s="64"/>
      <c r="J77" s="64"/>
      <c r="K77" s="64"/>
      <c r="L77" s="64"/>
      <c r="M77" s="64"/>
      <c r="N77" s="64"/>
      <c r="O77" s="64"/>
      <c r="P77" s="64"/>
      <c r="Q77" s="64"/>
      <c r="R77" s="64"/>
      <c r="S77" s="64"/>
      <c r="T77" s="64"/>
      <c r="U77" s="64"/>
      <c r="V77" s="64"/>
      <c r="W77" s="64"/>
      <c r="X77" s="64"/>
      <c r="Y77" s="64"/>
      <c r="Z77" s="64"/>
      <c r="AA77" s="64"/>
      <c r="AB77" s="64"/>
      <c r="AC77" s="64"/>
      <c r="AD77" s="64"/>
      <c r="AE77" s="64"/>
      <c r="AF77" s="64"/>
      <c r="AG77" s="64"/>
      <c r="AH77" s="64"/>
      <c r="AI77" s="64"/>
      <c r="AJ77" s="64"/>
      <c r="AK77" s="64"/>
      <c r="AL77" s="64"/>
      <c r="AM77" s="64"/>
      <c r="AN77" s="64"/>
    </row>
    <row r="78" spans="1:40" x14ac:dyDescent="0.35">
      <c r="A78" s="64"/>
      <c r="B78" s="64"/>
      <c r="C78" s="64"/>
      <c r="D78" s="64"/>
      <c r="E78" s="64"/>
      <c r="F78" s="64"/>
      <c r="G78" s="64"/>
      <c r="H78" s="64"/>
      <c r="I78" s="64"/>
      <c r="J78" s="64"/>
      <c r="K78" s="64"/>
      <c r="L78" s="64"/>
      <c r="M78" s="64"/>
      <c r="N78" s="64"/>
      <c r="O78" s="64"/>
      <c r="P78" s="64"/>
      <c r="Q78" s="64"/>
      <c r="R78" s="64"/>
      <c r="S78" s="64"/>
      <c r="T78" s="64"/>
      <c r="U78" s="64"/>
      <c r="V78" s="64"/>
      <c r="W78" s="64"/>
      <c r="X78" s="64"/>
      <c r="Y78" s="64"/>
      <c r="Z78" s="64"/>
      <c r="AA78" s="64"/>
      <c r="AB78" s="64"/>
      <c r="AC78" s="64"/>
      <c r="AD78" s="64"/>
      <c r="AE78" s="64"/>
      <c r="AF78" s="64"/>
      <c r="AG78" s="64"/>
      <c r="AH78" s="64"/>
      <c r="AI78" s="64"/>
      <c r="AJ78" s="64"/>
      <c r="AK78" s="64"/>
      <c r="AL78" s="64"/>
      <c r="AM78" s="64"/>
      <c r="AN78" s="64"/>
    </row>
    <row r="79" spans="1:40" x14ac:dyDescent="0.35">
      <c r="A79" s="64"/>
      <c r="B79" s="64"/>
      <c r="C79" s="64"/>
      <c r="D79" s="64"/>
      <c r="E79" s="64"/>
      <c r="F79" s="64"/>
      <c r="G79" s="64"/>
      <c r="H79" s="64"/>
      <c r="I79" s="64"/>
      <c r="J79" s="64"/>
      <c r="K79" s="64"/>
      <c r="L79" s="64"/>
      <c r="M79" s="64"/>
      <c r="N79" s="64"/>
      <c r="O79" s="64"/>
      <c r="P79" s="64"/>
      <c r="Q79" s="64"/>
      <c r="R79" s="64"/>
      <c r="S79" s="64"/>
      <c r="T79" s="64"/>
      <c r="U79" s="64"/>
      <c r="V79" s="64"/>
      <c r="W79" s="64"/>
      <c r="X79" s="64"/>
      <c r="Y79" s="64"/>
      <c r="Z79" s="64"/>
      <c r="AA79" s="64"/>
      <c r="AB79" s="64"/>
      <c r="AC79" s="64"/>
      <c r="AD79" s="64"/>
      <c r="AE79" s="64"/>
      <c r="AF79" s="64"/>
      <c r="AG79" s="64"/>
      <c r="AH79" s="64"/>
      <c r="AI79" s="64"/>
      <c r="AJ79" s="64"/>
      <c r="AK79" s="64"/>
      <c r="AL79" s="64"/>
      <c r="AM79" s="64"/>
      <c r="AN79" s="64"/>
    </row>
    <row r="80" spans="1:40" x14ac:dyDescent="0.35">
      <c r="A80" s="64"/>
      <c r="B80" s="64"/>
      <c r="C80" s="64"/>
      <c r="D80" s="64"/>
      <c r="E80" s="64"/>
      <c r="F80" s="64"/>
      <c r="G80" s="64"/>
      <c r="H80" s="64"/>
      <c r="I80" s="64"/>
      <c r="J80" s="64"/>
      <c r="K80" s="64"/>
      <c r="L80" s="64"/>
      <c r="M80" s="64"/>
      <c r="N80" s="64"/>
      <c r="O80" s="64"/>
      <c r="P80" s="64"/>
      <c r="Q80" s="64"/>
      <c r="R80" s="64"/>
      <c r="S80" s="64"/>
      <c r="T80" s="64"/>
      <c r="U80" s="64"/>
      <c r="V80" s="64"/>
      <c r="W80" s="64"/>
      <c r="X80" s="64"/>
      <c r="Y80" s="64"/>
      <c r="Z80" s="64"/>
      <c r="AA80" s="64"/>
      <c r="AB80" s="64"/>
      <c r="AC80" s="64"/>
      <c r="AD80" s="64"/>
      <c r="AE80" s="64"/>
      <c r="AF80" s="64"/>
      <c r="AG80" s="64"/>
      <c r="AH80" s="64"/>
      <c r="AI80" s="64"/>
      <c r="AJ80" s="64"/>
      <c r="AK80" s="64"/>
      <c r="AL80" s="64"/>
      <c r="AM80" s="64"/>
      <c r="AN80" s="64"/>
    </row>
    <row r="81" spans="1:40" x14ac:dyDescent="0.35">
      <c r="A81" s="64"/>
      <c r="B81" s="64"/>
      <c r="C81" s="64"/>
      <c r="D81" s="64"/>
      <c r="E81" s="64"/>
      <c r="F81" s="64"/>
      <c r="G81" s="64"/>
      <c r="H81" s="64"/>
      <c r="I81" s="64"/>
      <c r="J81" s="64"/>
      <c r="K81" s="64"/>
      <c r="L81" s="64"/>
      <c r="M81" s="64"/>
      <c r="N81" s="64"/>
      <c r="O81" s="64"/>
      <c r="P81" s="64"/>
      <c r="Q81" s="64"/>
      <c r="R81" s="64"/>
      <c r="S81" s="64"/>
      <c r="T81" s="64"/>
      <c r="U81" s="64"/>
      <c r="V81" s="64"/>
      <c r="W81" s="64"/>
      <c r="X81" s="64"/>
      <c r="Y81" s="64"/>
      <c r="Z81" s="64"/>
      <c r="AA81" s="64"/>
      <c r="AB81" s="64"/>
      <c r="AC81" s="64"/>
      <c r="AD81" s="64"/>
      <c r="AE81" s="64"/>
      <c r="AF81" s="64"/>
      <c r="AG81" s="64"/>
      <c r="AH81" s="64"/>
      <c r="AI81" s="64"/>
      <c r="AJ81" s="64"/>
      <c r="AK81" s="64"/>
      <c r="AL81" s="64"/>
      <c r="AM81" s="64"/>
      <c r="AN81" s="64"/>
    </row>
    <row r="82" spans="1:40" x14ac:dyDescent="0.35">
      <c r="A82" s="64"/>
      <c r="B82" s="64"/>
      <c r="C82" s="64"/>
      <c r="D82" s="64"/>
      <c r="E82" s="64"/>
      <c r="F82" s="64"/>
      <c r="G82" s="64"/>
      <c r="H82" s="64"/>
      <c r="I82" s="64"/>
      <c r="J82" s="64"/>
      <c r="K82" s="64"/>
      <c r="L82" s="64"/>
      <c r="M82" s="64"/>
      <c r="N82" s="64"/>
      <c r="O82" s="64"/>
      <c r="P82" s="64"/>
      <c r="Q82" s="64"/>
      <c r="R82" s="64"/>
      <c r="S82" s="64"/>
      <c r="T82" s="64"/>
      <c r="U82" s="64"/>
      <c r="V82" s="64"/>
      <c r="W82" s="64"/>
      <c r="X82" s="64"/>
      <c r="Y82" s="64"/>
      <c r="Z82" s="64"/>
      <c r="AA82" s="64"/>
      <c r="AB82" s="64"/>
      <c r="AC82" s="64"/>
      <c r="AD82" s="64"/>
      <c r="AE82" s="64"/>
      <c r="AF82" s="64"/>
      <c r="AG82" s="64"/>
      <c r="AH82" s="64"/>
      <c r="AI82" s="64"/>
      <c r="AJ82" s="64"/>
      <c r="AK82" s="64"/>
      <c r="AL82" s="64"/>
      <c r="AM82" s="64"/>
      <c r="AN82" s="64"/>
    </row>
    <row r="83" spans="1:40" x14ac:dyDescent="0.35">
      <c r="A83" s="64"/>
      <c r="B83" s="64"/>
      <c r="C83" s="64"/>
      <c r="D83" s="64"/>
      <c r="E83" s="64"/>
      <c r="F83" s="64"/>
      <c r="G83" s="64"/>
      <c r="H83" s="64"/>
      <c r="I83" s="64"/>
      <c r="J83" s="64"/>
      <c r="K83" s="64"/>
      <c r="L83" s="64"/>
      <c r="M83" s="64"/>
      <c r="N83" s="64"/>
      <c r="O83" s="64"/>
      <c r="P83" s="64"/>
      <c r="Q83" s="64"/>
      <c r="R83" s="64"/>
      <c r="S83" s="64"/>
      <c r="T83" s="64"/>
      <c r="U83" s="64"/>
      <c r="V83" s="64"/>
      <c r="W83" s="64"/>
      <c r="X83" s="64"/>
      <c r="Y83" s="64"/>
      <c r="Z83" s="64"/>
      <c r="AA83" s="64"/>
      <c r="AB83" s="64"/>
      <c r="AC83" s="64"/>
      <c r="AD83" s="64"/>
      <c r="AE83" s="64"/>
      <c r="AF83" s="64"/>
      <c r="AG83" s="64"/>
      <c r="AH83" s="64"/>
      <c r="AI83" s="64"/>
      <c r="AJ83" s="64"/>
      <c r="AK83" s="64"/>
      <c r="AL83" s="64"/>
      <c r="AM83" s="64"/>
      <c r="AN83" s="64"/>
    </row>
    <row r="84" spans="1:40" x14ac:dyDescent="0.35">
      <c r="A84" s="64"/>
      <c r="B84" s="64"/>
      <c r="C84" s="64"/>
      <c r="D84" s="64"/>
      <c r="E84" s="64"/>
      <c r="F84" s="64"/>
      <c r="G84" s="64"/>
      <c r="H84" s="64"/>
      <c r="I84" s="64"/>
      <c r="J84" s="64"/>
      <c r="K84" s="64"/>
      <c r="L84" s="64"/>
      <c r="M84" s="64"/>
      <c r="N84" s="64"/>
      <c r="O84" s="64"/>
      <c r="P84" s="64"/>
      <c r="Q84" s="64"/>
      <c r="R84" s="64"/>
      <c r="S84" s="64"/>
      <c r="T84" s="64"/>
      <c r="U84" s="64"/>
      <c r="V84" s="64"/>
      <c r="W84" s="64"/>
      <c r="X84" s="64"/>
      <c r="Y84" s="64"/>
      <c r="Z84" s="64"/>
      <c r="AA84" s="64"/>
      <c r="AB84" s="64"/>
      <c r="AC84" s="64"/>
      <c r="AD84" s="64"/>
      <c r="AE84" s="64"/>
      <c r="AF84" s="64"/>
      <c r="AG84" s="64"/>
      <c r="AH84" s="64"/>
      <c r="AI84" s="64"/>
      <c r="AJ84" s="64"/>
      <c r="AK84" s="64"/>
      <c r="AL84" s="64"/>
      <c r="AM84" s="64"/>
      <c r="AN84" s="64"/>
    </row>
    <row r="85" spans="1:40" x14ac:dyDescent="0.35">
      <c r="A85" s="64"/>
      <c r="B85" s="64"/>
      <c r="C85" s="64"/>
      <c r="D85" s="64"/>
      <c r="E85" s="64"/>
      <c r="F85" s="64"/>
      <c r="G85" s="64"/>
      <c r="H85" s="64"/>
      <c r="I85" s="64"/>
      <c r="J85" s="64"/>
      <c r="K85" s="64"/>
      <c r="L85" s="64"/>
      <c r="M85" s="64"/>
      <c r="N85" s="64"/>
      <c r="O85" s="64"/>
      <c r="P85" s="64"/>
      <c r="Q85" s="64"/>
      <c r="R85" s="64"/>
      <c r="S85" s="64"/>
      <c r="T85" s="64"/>
      <c r="U85" s="64"/>
      <c r="V85" s="64"/>
      <c r="W85" s="64"/>
      <c r="X85" s="64"/>
      <c r="Y85" s="64"/>
      <c r="Z85" s="64"/>
      <c r="AA85" s="64"/>
      <c r="AB85" s="64"/>
      <c r="AC85" s="64"/>
      <c r="AD85" s="64"/>
      <c r="AE85" s="64"/>
      <c r="AF85" s="64"/>
      <c r="AG85" s="64"/>
      <c r="AH85" s="64"/>
      <c r="AI85" s="64"/>
      <c r="AJ85" s="64"/>
      <c r="AK85" s="64"/>
      <c r="AL85" s="64"/>
      <c r="AM85" s="64"/>
      <c r="AN85" s="64"/>
    </row>
    <row r="86" spans="1:40" x14ac:dyDescent="0.35">
      <c r="A86" s="64"/>
      <c r="B86" s="64"/>
      <c r="C86" s="64"/>
      <c r="D86" s="64"/>
      <c r="E86" s="64"/>
      <c r="F86" s="64"/>
      <c r="G86" s="64"/>
      <c r="H86" s="64"/>
      <c r="I86" s="64"/>
      <c r="J86" s="64"/>
      <c r="K86" s="64"/>
      <c r="L86" s="64"/>
      <c r="M86" s="64"/>
      <c r="N86" s="64"/>
      <c r="O86" s="64"/>
      <c r="P86" s="64"/>
      <c r="Q86" s="64"/>
      <c r="R86" s="64"/>
      <c r="S86" s="64"/>
      <c r="T86" s="64"/>
      <c r="U86" s="64"/>
      <c r="V86" s="64"/>
      <c r="W86" s="64"/>
      <c r="X86" s="64"/>
      <c r="Y86" s="64"/>
      <c r="Z86" s="64"/>
      <c r="AA86" s="64"/>
      <c r="AB86" s="64"/>
      <c r="AC86" s="64"/>
      <c r="AD86" s="64"/>
      <c r="AE86" s="64"/>
      <c r="AF86" s="64"/>
      <c r="AG86" s="64"/>
      <c r="AH86" s="64"/>
      <c r="AI86" s="64"/>
      <c r="AJ86" s="64"/>
      <c r="AK86" s="64"/>
      <c r="AL86" s="64"/>
      <c r="AM86" s="64"/>
      <c r="AN86" s="64"/>
    </row>
    <row r="87" spans="1:40" x14ac:dyDescent="0.35">
      <c r="A87" s="64"/>
      <c r="B87" s="64"/>
      <c r="C87" s="64"/>
      <c r="D87" s="64"/>
      <c r="E87" s="64"/>
      <c r="F87" s="64"/>
      <c r="G87" s="64"/>
      <c r="H87" s="64"/>
      <c r="I87" s="64"/>
      <c r="J87" s="64"/>
      <c r="K87" s="64"/>
      <c r="L87" s="64"/>
      <c r="M87" s="64"/>
      <c r="N87" s="64"/>
      <c r="O87" s="64"/>
      <c r="P87" s="64"/>
      <c r="Q87" s="64"/>
      <c r="R87" s="64"/>
      <c r="S87" s="64"/>
      <c r="T87" s="64"/>
      <c r="U87" s="64"/>
      <c r="V87" s="64"/>
      <c r="W87" s="64"/>
      <c r="X87" s="64"/>
      <c r="Y87" s="64"/>
      <c r="Z87" s="64"/>
      <c r="AA87" s="64"/>
      <c r="AB87" s="64"/>
      <c r="AC87" s="64"/>
      <c r="AD87" s="64"/>
      <c r="AE87" s="64"/>
      <c r="AF87" s="64"/>
      <c r="AG87" s="64"/>
      <c r="AH87" s="64"/>
      <c r="AI87" s="64"/>
      <c r="AJ87" s="64"/>
      <c r="AK87" s="64"/>
      <c r="AL87" s="64"/>
      <c r="AM87" s="64"/>
      <c r="AN87" s="64"/>
    </row>
    <row r="88" spans="1:40" x14ac:dyDescent="0.35">
      <c r="A88" s="64"/>
      <c r="B88" s="64"/>
      <c r="C88" s="64"/>
      <c r="D88" s="64"/>
      <c r="E88" s="64"/>
      <c r="F88" s="64"/>
      <c r="G88" s="64"/>
      <c r="H88" s="64"/>
      <c r="I88" s="64"/>
      <c r="J88" s="64"/>
      <c r="K88" s="64"/>
      <c r="L88" s="64"/>
      <c r="M88" s="64"/>
      <c r="N88" s="64"/>
      <c r="O88" s="64"/>
      <c r="P88" s="64"/>
      <c r="Q88" s="64"/>
      <c r="R88" s="64"/>
      <c r="S88" s="64"/>
      <c r="T88" s="64"/>
      <c r="U88" s="64"/>
      <c r="V88" s="64"/>
      <c r="W88" s="64"/>
      <c r="X88" s="64"/>
      <c r="Y88" s="64"/>
      <c r="Z88" s="64"/>
      <c r="AA88" s="64"/>
      <c r="AB88" s="64"/>
      <c r="AC88" s="64"/>
      <c r="AD88" s="64"/>
      <c r="AE88" s="64"/>
      <c r="AF88" s="64"/>
      <c r="AG88" s="64"/>
      <c r="AH88" s="64"/>
      <c r="AI88" s="64"/>
      <c r="AJ88" s="64"/>
      <c r="AK88" s="64"/>
      <c r="AL88" s="64"/>
      <c r="AM88" s="64"/>
      <c r="AN88" s="64"/>
    </row>
    <row r="89" spans="1:40" x14ac:dyDescent="0.35">
      <c r="A89" s="64"/>
      <c r="B89" s="64"/>
      <c r="C89" s="64"/>
      <c r="D89" s="64"/>
      <c r="E89" s="64"/>
      <c r="F89" s="64"/>
      <c r="G89" s="64"/>
      <c r="H89" s="64"/>
      <c r="I89" s="64"/>
      <c r="J89" s="64"/>
      <c r="K89" s="64"/>
      <c r="L89" s="64"/>
      <c r="M89" s="64"/>
      <c r="N89" s="64"/>
      <c r="O89" s="64"/>
      <c r="P89" s="64"/>
      <c r="Q89" s="64"/>
      <c r="R89" s="64"/>
      <c r="S89" s="64"/>
      <c r="T89" s="64"/>
      <c r="U89" s="64"/>
      <c r="V89" s="64"/>
      <c r="W89" s="64"/>
      <c r="X89" s="64"/>
      <c r="Y89" s="64"/>
      <c r="Z89" s="64"/>
      <c r="AA89" s="64"/>
      <c r="AB89" s="64"/>
      <c r="AC89" s="64"/>
      <c r="AD89" s="64"/>
      <c r="AE89" s="64"/>
      <c r="AF89" s="64"/>
      <c r="AG89" s="64"/>
      <c r="AH89" s="64"/>
      <c r="AI89" s="64"/>
      <c r="AJ89" s="64"/>
      <c r="AK89" s="64"/>
      <c r="AL89" s="64"/>
      <c r="AM89" s="64"/>
      <c r="AN89" s="64"/>
    </row>
    <row r="90" spans="1:40" x14ac:dyDescent="0.35">
      <c r="A90" s="64"/>
      <c r="B90" s="64"/>
      <c r="C90" s="64"/>
      <c r="D90" s="64"/>
      <c r="E90" s="64"/>
      <c r="F90" s="64"/>
      <c r="G90" s="64"/>
      <c r="H90" s="64"/>
      <c r="I90" s="64"/>
      <c r="J90" s="64"/>
      <c r="K90" s="64"/>
      <c r="L90" s="64"/>
      <c r="M90" s="64"/>
      <c r="N90" s="64"/>
      <c r="O90" s="64"/>
      <c r="P90" s="64"/>
      <c r="Q90" s="64"/>
      <c r="R90" s="64"/>
      <c r="S90" s="64"/>
      <c r="T90" s="64"/>
      <c r="U90" s="64"/>
      <c r="V90" s="64"/>
      <c r="W90" s="64"/>
      <c r="X90" s="64"/>
      <c r="Y90" s="64"/>
      <c r="Z90" s="64"/>
      <c r="AA90" s="64"/>
      <c r="AB90" s="64"/>
      <c r="AC90" s="64"/>
      <c r="AD90" s="64"/>
      <c r="AE90" s="64"/>
      <c r="AF90" s="64"/>
      <c r="AG90" s="64"/>
      <c r="AH90" s="64"/>
      <c r="AI90" s="64"/>
      <c r="AJ90" s="64"/>
      <c r="AK90" s="64"/>
      <c r="AL90" s="64"/>
      <c r="AM90" s="64"/>
      <c r="AN90" s="64"/>
    </row>
    <row r="91" spans="1:40" x14ac:dyDescent="0.35">
      <c r="A91" s="64"/>
      <c r="B91" s="64"/>
      <c r="C91" s="64"/>
      <c r="D91" s="64"/>
      <c r="E91" s="64"/>
      <c r="F91" s="64"/>
      <c r="G91" s="64"/>
      <c r="H91" s="64"/>
      <c r="I91" s="64"/>
      <c r="J91" s="64"/>
      <c r="K91" s="64"/>
      <c r="L91" s="64"/>
      <c r="M91" s="64"/>
      <c r="N91" s="64"/>
      <c r="O91" s="64"/>
      <c r="P91" s="64"/>
      <c r="Q91" s="64"/>
      <c r="R91" s="64"/>
      <c r="S91" s="64"/>
      <c r="T91" s="64"/>
      <c r="U91" s="64"/>
      <c r="V91" s="64"/>
      <c r="W91" s="64"/>
      <c r="X91" s="64"/>
      <c r="Y91" s="64"/>
      <c r="Z91" s="64"/>
      <c r="AA91" s="64"/>
      <c r="AB91" s="64"/>
      <c r="AC91" s="64"/>
      <c r="AD91" s="64"/>
      <c r="AE91" s="64"/>
      <c r="AF91" s="64"/>
      <c r="AG91" s="64"/>
      <c r="AH91" s="64"/>
      <c r="AI91" s="64"/>
      <c r="AJ91" s="64"/>
      <c r="AK91" s="64"/>
      <c r="AL91" s="64"/>
      <c r="AM91" s="64"/>
      <c r="AN91" s="64"/>
    </row>
    <row r="92" spans="1:40" x14ac:dyDescent="0.35">
      <c r="A92" s="64"/>
      <c r="B92" s="64"/>
      <c r="C92" s="64"/>
      <c r="D92" s="64"/>
      <c r="E92" s="64"/>
      <c r="F92" s="64"/>
      <c r="G92" s="64"/>
      <c r="H92" s="64"/>
      <c r="I92" s="64"/>
      <c r="J92" s="64"/>
      <c r="K92" s="64"/>
      <c r="L92" s="64"/>
      <c r="M92" s="64"/>
      <c r="N92" s="64"/>
      <c r="O92" s="64"/>
      <c r="P92" s="64"/>
      <c r="Q92" s="64"/>
      <c r="R92" s="64"/>
      <c r="S92" s="64"/>
      <c r="T92" s="64"/>
      <c r="U92" s="64"/>
      <c r="V92" s="64"/>
      <c r="W92" s="64"/>
      <c r="X92" s="64"/>
      <c r="Y92" s="64"/>
      <c r="Z92" s="64"/>
      <c r="AA92" s="64"/>
      <c r="AB92" s="64"/>
      <c r="AC92" s="64"/>
      <c r="AD92" s="64"/>
      <c r="AE92" s="64"/>
      <c r="AF92" s="64"/>
      <c r="AG92" s="64"/>
      <c r="AH92" s="64"/>
      <c r="AI92" s="64"/>
      <c r="AJ92" s="64"/>
      <c r="AK92" s="64"/>
      <c r="AL92" s="64"/>
      <c r="AM92" s="64"/>
      <c r="AN92" s="64"/>
    </row>
    <row r="93" spans="1:40" x14ac:dyDescent="0.35">
      <c r="A93" s="64"/>
      <c r="B93" s="64"/>
      <c r="C93" s="64"/>
      <c r="D93" s="64"/>
      <c r="E93" s="64"/>
      <c r="F93" s="64"/>
      <c r="G93" s="64"/>
      <c r="H93" s="64"/>
      <c r="I93" s="64"/>
      <c r="J93" s="64"/>
      <c r="K93" s="64"/>
      <c r="L93" s="64"/>
      <c r="M93" s="64"/>
      <c r="N93" s="64"/>
      <c r="O93" s="64"/>
      <c r="P93" s="64"/>
      <c r="Q93" s="64"/>
      <c r="R93" s="64"/>
      <c r="S93" s="64"/>
      <c r="T93" s="64"/>
      <c r="U93" s="64"/>
      <c r="V93" s="64"/>
      <c r="W93" s="64"/>
      <c r="X93" s="64"/>
      <c r="Y93" s="64"/>
      <c r="Z93" s="64"/>
      <c r="AA93" s="64"/>
      <c r="AB93" s="64"/>
      <c r="AC93" s="64"/>
      <c r="AD93" s="64"/>
      <c r="AE93" s="64"/>
      <c r="AF93" s="64"/>
      <c r="AG93" s="64"/>
      <c r="AH93" s="64"/>
      <c r="AI93" s="64"/>
      <c r="AJ93" s="64"/>
      <c r="AK93" s="64"/>
      <c r="AL93" s="64"/>
      <c r="AM93" s="64"/>
      <c r="AN93" s="64"/>
    </row>
    <row r="94" spans="1:40" x14ac:dyDescent="0.35">
      <c r="A94" s="64"/>
      <c r="B94" s="64"/>
      <c r="C94" s="64"/>
      <c r="D94" s="64"/>
      <c r="E94" s="64"/>
      <c r="F94" s="64"/>
      <c r="G94" s="64"/>
      <c r="H94" s="64"/>
      <c r="I94" s="64"/>
      <c r="J94" s="64"/>
      <c r="K94" s="64"/>
      <c r="L94" s="64"/>
      <c r="M94" s="64"/>
      <c r="N94" s="64"/>
      <c r="O94" s="64"/>
      <c r="P94" s="64"/>
      <c r="Q94" s="64"/>
      <c r="R94" s="64"/>
      <c r="S94" s="64"/>
      <c r="T94" s="64"/>
      <c r="U94" s="64"/>
      <c r="V94" s="64"/>
      <c r="W94" s="64"/>
      <c r="X94" s="64"/>
      <c r="Y94" s="64"/>
      <c r="Z94" s="64"/>
      <c r="AA94" s="64"/>
      <c r="AB94" s="64"/>
      <c r="AC94" s="64"/>
      <c r="AD94" s="64"/>
      <c r="AE94" s="64"/>
      <c r="AF94" s="64"/>
      <c r="AG94" s="64"/>
      <c r="AH94" s="64"/>
      <c r="AI94" s="64"/>
      <c r="AJ94" s="64"/>
      <c r="AK94" s="64"/>
      <c r="AL94" s="64"/>
      <c r="AM94" s="64"/>
      <c r="AN94" s="64"/>
    </row>
    <row r="95" spans="1:40" x14ac:dyDescent="0.35">
      <c r="A95" s="64"/>
      <c r="B95" s="64"/>
      <c r="C95" s="64"/>
      <c r="D95" s="64"/>
      <c r="E95" s="64"/>
      <c r="F95" s="64"/>
      <c r="G95" s="64"/>
      <c r="H95" s="64"/>
      <c r="I95" s="64"/>
      <c r="J95" s="64"/>
      <c r="K95" s="64"/>
      <c r="L95" s="64"/>
      <c r="M95" s="64"/>
      <c r="N95" s="64"/>
      <c r="O95" s="64"/>
      <c r="P95" s="64"/>
      <c r="Q95" s="64"/>
      <c r="R95" s="64"/>
      <c r="S95" s="64"/>
      <c r="T95" s="64"/>
      <c r="U95" s="64"/>
      <c r="V95" s="64"/>
      <c r="W95" s="64"/>
      <c r="X95" s="64"/>
      <c r="Y95" s="64"/>
      <c r="Z95" s="64"/>
      <c r="AA95" s="64"/>
      <c r="AB95" s="64"/>
      <c r="AC95" s="64"/>
      <c r="AD95" s="64"/>
      <c r="AE95" s="64"/>
      <c r="AF95" s="64"/>
      <c r="AG95" s="64"/>
      <c r="AH95" s="64"/>
      <c r="AI95" s="64"/>
      <c r="AJ95" s="64"/>
      <c r="AK95" s="64"/>
      <c r="AL95" s="64"/>
      <c r="AM95" s="64"/>
      <c r="AN95" s="64"/>
    </row>
    <row r="96" spans="1:40" x14ac:dyDescent="0.35">
      <c r="A96" s="64"/>
      <c r="B96" s="64"/>
      <c r="C96" s="64"/>
      <c r="D96" s="64"/>
      <c r="E96" s="64"/>
      <c r="F96" s="64"/>
      <c r="G96" s="64"/>
      <c r="H96" s="64"/>
      <c r="I96" s="64"/>
      <c r="J96" s="64"/>
      <c r="K96" s="64"/>
      <c r="L96" s="64"/>
      <c r="M96" s="64"/>
      <c r="N96" s="64"/>
      <c r="O96" s="64"/>
      <c r="P96" s="64"/>
      <c r="Q96" s="64"/>
      <c r="R96" s="64"/>
      <c r="S96" s="64"/>
      <c r="T96" s="64"/>
      <c r="U96" s="64"/>
      <c r="V96" s="64"/>
      <c r="W96" s="64"/>
      <c r="X96" s="64"/>
      <c r="Y96" s="64"/>
      <c r="Z96" s="64"/>
      <c r="AA96" s="64"/>
      <c r="AB96" s="64"/>
      <c r="AC96" s="64"/>
      <c r="AD96" s="64"/>
      <c r="AE96" s="64"/>
      <c r="AF96" s="64"/>
      <c r="AG96" s="64"/>
      <c r="AH96" s="64"/>
      <c r="AI96" s="64"/>
      <c r="AJ96" s="64"/>
      <c r="AK96" s="64"/>
      <c r="AL96" s="64"/>
      <c r="AM96" s="64"/>
      <c r="AN96" s="64"/>
    </row>
    <row r="97" spans="1:40" x14ac:dyDescent="0.35">
      <c r="A97" s="64"/>
      <c r="B97" s="64"/>
      <c r="C97" s="64"/>
      <c r="D97" s="64"/>
      <c r="E97" s="64"/>
      <c r="F97" s="64"/>
      <c r="G97" s="64"/>
      <c r="H97" s="64"/>
      <c r="I97" s="64"/>
      <c r="J97" s="64"/>
      <c r="K97" s="64"/>
      <c r="L97" s="64"/>
      <c r="M97" s="64"/>
      <c r="N97" s="64"/>
      <c r="O97" s="64"/>
      <c r="P97" s="64"/>
      <c r="Q97" s="64"/>
      <c r="R97" s="64"/>
      <c r="S97" s="64"/>
      <c r="T97" s="64"/>
      <c r="U97" s="64"/>
      <c r="V97" s="64"/>
      <c r="W97" s="64"/>
      <c r="X97" s="64"/>
      <c r="Y97" s="64"/>
      <c r="Z97" s="64"/>
      <c r="AA97" s="64"/>
      <c r="AB97" s="64"/>
      <c r="AC97" s="64"/>
      <c r="AD97" s="64"/>
      <c r="AE97" s="64"/>
      <c r="AF97" s="64"/>
      <c r="AG97" s="64"/>
      <c r="AH97" s="64"/>
      <c r="AI97" s="64"/>
      <c r="AJ97" s="64"/>
      <c r="AK97" s="64"/>
      <c r="AL97" s="64"/>
      <c r="AM97" s="64"/>
      <c r="AN97" s="64"/>
    </row>
    <row r="98" spans="1:40" x14ac:dyDescent="0.35">
      <c r="A98" s="64"/>
      <c r="B98" s="64"/>
      <c r="C98" s="64"/>
      <c r="D98" s="64"/>
      <c r="E98" s="64"/>
      <c r="F98" s="64"/>
      <c r="G98" s="64"/>
      <c r="H98" s="64"/>
      <c r="I98" s="64"/>
      <c r="J98" s="64"/>
      <c r="K98" s="64"/>
      <c r="L98" s="64"/>
      <c r="M98" s="64"/>
      <c r="N98" s="64"/>
      <c r="O98" s="64"/>
      <c r="P98" s="64"/>
      <c r="Q98" s="64"/>
      <c r="R98" s="64"/>
      <c r="S98" s="64"/>
      <c r="T98" s="64"/>
      <c r="U98" s="64"/>
      <c r="V98" s="64"/>
      <c r="W98" s="64"/>
      <c r="X98" s="64"/>
      <c r="Y98" s="64"/>
      <c r="Z98" s="64"/>
      <c r="AA98" s="64"/>
      <c r="AB98" s="64"/>
      <c r="AC98" s="64"/>
      <c r="AD98" s="64"/>
      <c r="AE98" s="64"/>
      <c r="AF98" s="64"/>
      <c r="AG98" s="64"/>
      <c r="AH98" s="64"/>
      <c r="AI98" s="64"/>
      <c r="AJ98" s="64"/>
      <c r="AK98" s="64"/>
      <c r="AL98" s="64"/>
      <c r="AM98" s="64"/>
      <c r="AN98" s="64"/>
    </row>
    <row r="99" spans="1:40" x14ac:dyDescent="0.35">
      <c r="A99" s="64"/>
      <c r="B99" s="64"/>
      <c r="C99" s="64"/>
      <c r="D99" s="64"/>
      <c r="E99" s="64"/>
      <c r="F99" s="64"/>
      <c r="G99" s="64"/>
      <c r="H99" s="64"/>
      <c r="I99" s="64"/>
      <c r="J99" s="64"/>
      <c r="K99" s="64"/>
      <c r="L99" s="64"/>
      <c r="M99" s="64"/>
      <c r="N99" s="64"/>
      <c r="O99" s="64"/>
      <c r="P99" s="64"/>
      <c r="Q99" s="64"/>
      <c r="R99" s="64"/>
      <c r="S99" s="64"/>
      <c r="T99" s="64"/>
      <c r="U99" s="64"/>
      <c r="V99" s="64"/>
      <c r="W99" s="64"/>
      <c r="X99" s="64"/>
      <c r="Y99" s="64"/>
      <c r="Z99" s="64"/>
      <c r="AA99" s="64"/>
      <c r="AB99" s="64"/>
      <c r="AC99" s="64"/>
      <c r="AD99" s="64"/>
      <c r="AE99" s="64"/>
      <c r="AF99" s="64"/>
      <c r="AG99" s="64"/>
      <c r="AH99" s="64"/>
      <c r="AI99" s="64"/>
      <c r="AJ99" s="64"/>
      <c r="AK99" s="64"/>
      <c r="AL99" s="64"/>
      <c r="AM99" s="64"/>
      <c r="AN99" s="64"/>
    </row>
    <row r="100" spans="1:40" x14ac:dyDescent="0.35">
      <c r="A100" s="64"/>
      <c r="B100" s="64"/>
      <c r="C100" s="64"/>
      <c r="D100" s="64"/>
      <c r="E100" s="64"/>
      <c r="F100" s="64"/>
      <c r="G100" s="64"/>
      <c r="H100" s="64"/>
      <c r="I100" s="64"/>
      <c r="J100" s="64"/>
      <c r="K100" s="64"/>
      <c r="L100" s="64"/>
      <c r="M100" s="64"/>
      <c r="N100" s="64"/>
      <c r="O100" s="64"/>
      <c r="P100" s="64"/>
      <c r="Q100" s="64"/>
      <c r="R100" s="64"/>
      <c r="S100" s="64"/>
      <c r="T100" s="64"/>
      <c r="U100" s="64"/>
      <c r="V100" s="64"/>
      <c r="W100" s="64"/>
      <c r="X100" s="64"/>
      <c r="Y100" s="64"/>
      <c r="Z100" s="64"/>
      <c r="AA100" s="64"/>
      <c r="AB100" s="64"/>
      <c r="AC100" s="64"/>
      <c r="AD100" s="64"/>
      <c r="AE100" s="64"/>
      <c r="AF100" s="64"/>
      <c r="AG100" s="64"/>
      <c r="AH100" s="64"/>
      <c r="AI100" s="64"/>
      <c r="AJ100" s="64"/>
      <c r="AK100" s="64"/>
      <c r="AL100" s="64"/>
      <c r="AM100" s="64"/>
      <c r="AN100" s="64"/>
    </row>
    <row r="101" spans="1:40" x14ac:dyDescent="0.35">
      <c r="A101" s="64"/>
      <c r="B101" s="64"/>
      <c r="C101" s="64"/>
      <c r="D101" s="64"/>
      <c r="E101" s="64"/>
      <c r="F101" s="64"/>
      <c r="G101" s="64"/>
      <c r="H101" s="64"/>
      <c r="I101" s="64"/>
      <c r="J101" s="64"/>
      <c r="K101" s="64"/>
      <c r="L101" s="64"/>
      <c r="M101" s="64"/>
      <c r="N101" s="64"/>
      <c r="O101" s="64"/>
      <c r="P101" s="64"/>
      <c r="Q101" s="64"/>
      <c r="R101" s="64"/>
      <c r="S101" s="64"/>
      <c r="T101" s="64"/>
      <c r="U101" s="64"/>
      <c r="V101" s="64"/>
      <c r="W101" s="64"/>
      <c r="X101" s="64"/>
      <c r="Y101" s="64"/>
      <c r="Z101" s="64"/>
      <c r="AA101" s="64"/>
      <c r="AB101" s="64"/>
      <c r="AC101" s="64"/>
      <c r="AD101" s="64"/>
      <c r="AE101" s="64"/>
      <c r="AF101" s="64"/>
      <c r="AG101" s="64"/>
      <c r="AH101" s="64"/>
      <c r="AI101" s="64"/>
      <c r="AJ101" s="64"/>
      <c r="AK101" s="64"/>
      <c r="AL101" s="64"/>
      <c r="AM101" s="64"/>
      <c r="AN101" s="64"/>
    </row>
    <row r="102" spans="1:40" x14ac:dyDescent="0.35">
      <c r="A102" s="64"/>
      <c r="B102" s="64"/>
      <c r="C102" s="64"/>
      <c r="D102" s="64"/>
      <c r="E102" s="64"/>
      <c r="F102" s="64"/>
      <c r="G102" s="64"/>
      <c r="H102" s="64"/>
      <c r="I102" s="64"/>
      <c r="J102" s="64"/>
      <c r="K102" s="64"/>
      <c r="L102" s="64"/>
      <c r="M102" s="64"/>
      <c r="N102" s="64"/>
      <c r="O102" s="64"/>
      <c r="P102" s="64"/>
      <c r="Q102" s="64"/>
      <c r="R102" s="64"/>
      <c r="S102" s="64"/>
      <c r="T102" s="64"/>
      <c r="U102" s="64"/>
      <c r="V102" s="64"/>
      <c r="W102" s="64"/>
      <c r="X102" s="64"/>
      <c r="Y102" s="64"/>
      <c r="Z102" s="64"/>
      <c r="AA102" s="64"/>
      <c r="AB102" s="64"/>
      <c r="AC102" s="64"/>
      <c r="AD102" s="64"/>
      <c r="AE102" s="64"/>
      <c r="AF102" s="64"/>
      <c r="AG102" s="64"/>
      <c r="AH102" s="64"/>
      <c r="AI102" s="64"/>
      <c r="AJ102" s="64"/>
      <c r="AK102" s="64"/>
      <c r="AL102" s="64"/>
      <c r="AM102" s="64"/>
      <c r="AN102" s="64"/>
    </row>
    <row r="103" spans="1:40" x14ac:dyDescent="0.35">
      <c r="A103" s="64"/>
      <c r="B103" s="64"/>
      <c r="C103" s="64"/>
      <c r="D103" s="64"/>
      <c r="E103" s="64"/>
      <c r="F103" s="64"/>
      <c r="G103" s="64"/>
      <c r="H103" s="64"/>
      <c r="I103" s="64"/>
      <c r="J103" s="64"/>
      <c r="K103" s="64"/>
      <c r="L103" s="64"/>
      <c r="M103" s="64"/>
      <c r="N103" s="64"/>
      <c r="O103" s="64"/>
      <c r="P103" s="64"/>
      <c r="Q103" s="64"/>
      <c r="R103" s="64"/>
      <c r="S103" s="64"/>
      <c r="T103" s="64"/>
      <c r="U103" s="64"/>
      <c r="V103" s="64"/>
      <c r="W103" s="64"/>
      <c r="X103" s="64"/>
      <c r="Y103" s="64"/>
      <c r="Z103" s="64"/>
      <c r="AA103" s="64"/>
      <c r="AB103" s="64"/>
      <c r="AC103" s="64"/>
      <c r="AD103" s="64"/>
      <c r="AE103" s="64"/>
      <c r="AF103" s="64"/>
      <c r="AG103" s="64"/>
      <c r="AH103" s="64"/>
      <c r="AI103" s="64"/>
      <c r="AJ103" s="64"/>
      <c r="AK103" s="64"/>
      <c r="AL103" s="64"/>
      <c r="AM103" s="64"/>
      <c r="AN103" s="64"/>
    </row>
    <row r="104" spans="1:40" x14ac:dyDescent="0.35">
      <c r="A104" s="64"/>
      <c r="B104" s="64"/>
      <c r="C104" s="64"/>
      <c r="D104" s="64"/>
      <c r="E104" s="64"/>
      <c r="F104" s="64"/>
      <c r="G104" s="64"/>
      <c r="H104" s="64"/>
      <c r="I104" s="64"/>
      <c r="J104" s="64"/>
      <c r="K104" s="64"/>
      <c r="L104" s="64"/>
      <c r="M104" s="64"/>
      <c r="N104" s="64"/>
      <c r="O104" s="64"/>
      <c r="P104" s="64"/>
      <c r="Q104" s="64"/>
      <c r="R104" s="64"/>
      <c r="S104" s="64"/>
      <c r="T104" s="64"/>
      <c r="U104" s="64"/>
      <c r="V104" s="64"/>
      <c r="W104" s="64"/>
      <c r="X104" s="64"/>
      <c r="Y104" s="64"/>
      <c r="Z104" s="64"/>
      <c r="AA104" s="64"/>
      <c r="AB104" s="64"/>
      <c r="AC104" s="64"/>
      <c r="AD104" s="64"/>
      <c r="AE104" s="64"/>
      <c r="AF104" s="64"/>
      <c r="AG104" s="64"/>
      <c r="AH104" s="64"/>
      <c r="AI104" s="64"/>
      <c r="AJ104" s="64"/>
      <c r="AK104" s="64"/>
      <c r="AL104" s="64"/>
      <c r="AM104" s="64"/>
      <c r="AN104" s="64"/>
    </row>
    <row r="105" spans="1:40" x14ac:dyDescent="0.35">
      <c r="A105" s="64"/>
      <c r="B105" s="64"/>
      <c r="C105" s="64"/>
      <c r="D105" s="64"/>
      <c r="E105" s="64"/>
      <c r="F105" s="64"/>
      <c r="G105" s="64"/>
      <c r="H105" s="64"/>
      <c r="I105" s="64"/>
      <c r="J105" s="64"/>
      <c r="K105" s="64"/>
      <c r="L105" s="64"/>
      <c r="M105" s="64"/>
      <c r="N105" s="64"/>
      <c r="O105" s="64"/>
      <c r="P105" s="64"/>
      <c r="Q105" s="64"/>
      <c r="R105" s="64"/>
      <c r="S105" s="64"/>
      <c r="T105" s="64"/>
      <c r="U105" s="64"/>
      <c r="V105" s="64"/>
      <c r="W105" s="64"/>
      <c r="X105" s="64"/>
      <c r="Y105" s="64"/>
      <c r="Z105" s="64"/>
      <c r="AA105" s="64"/>
      <c r="AB105" s="64"/>
      <c r="AC105" s="64"/>
      <c r="AD105" s="64"/>
      <c r="AE105" s="64"/>
      <c r="AF105" s="64"/>
      <c r="AG105" s="64"/>
      <c r="AH105" s="64"/>
      <c r="AI105" s="64"/>
      <c r="AJ105" s="64"/>
      <c r="AK105" s="64"/>
      <c r="AL105" s="64"/>
      <c r="AM105" s="64"/>
      <c r="AN105" s="64"/>
    </row>
    <row r="106" spans="1:40" x14ac:dyDescent="0.35">
      <c r="A106" s="64"/>
      <c r="B106" s="64"/>
      <c r="C106" s="64"/>
      <c r="D106" s="64"/>
      <c r="E106" s="64"/>
      <c r="F106" s="64"/>
      <c r="G106" s="64"/>
      <c r="H106" s="64"/>
      <c r="I106" s="64"/>
      <c r="J106" s="64"/>
      <c r="K106" s="64"/>
      <c r="L106" s="64"/>
      <c r="M106" s="64"/>
      <c r="N106" s="64"/>
      <c r="O106" s="64"/>
      <c r="P106" s="64"/>
      <c r="Q106" s="64"/>
      <c r="R106" s="64"/>
      <c r="S106" s="64"/>
      <c r="T106" s="64"/>
      <c r="U106" s="64"/>
      <c r="V106" s="64"/>
      <c r="W106" s="64"/>
      <c r="X106" s="64"/>
      <c r="Y106" s="64"/>
      <c r="Z106" s="64"/>
      <c r="AA106" s="64"/>
      <c r="AB106" s="64"/>
      <c r="AC106" s="64"/>
      <c r="AD106" s="64"/>
      <c r="AE106" s="64"/>
      <c r="AF106" s="64"/>
      <c r="AG106" s="64"/>
      <c r="AH106" s="64"/>
      <c r="AI106" s="64"/>
      <c r="AJ106" s="64"/>
      <c r="AK106" s="64"/>
      <c r="AL106" s="64"/>
      <c r="AM106" s="64"/>
      <c r="AN106" s="64"/>
    </row>
    <row r="107" spans="1:40" x14ac:dyDescent="0.35">
      <c r="A107" s="64"/>
      <c r="B107" s="64"/>
      <c r="C107" s="64"/>
      <c r="D107" s="64"/>
      <c r="E107" s="64"/>
      <c r="F107" s="64"/>
      <c r="G107" s="64"/>
      <c r="H107" s="64"/>
      <c r="I107" s="64"/>
      <c r="J107" s="64"/>
      <c r="K107" s="64"/>
      <c r="L107" s="64"/>
      <c r="M107" s="64"/>
      <c r="N107" s="64"/>
      <c r="O107" s="64"/>
      <c r="P107" s="64"/>
      <c r="Q107" s="64"/>
      <c r="R107" s="64"/>
      <c r="S107" s="64"/>
      <c r="T107" s="64"/>
      <c r="U107" s="64"/>
      <c r="V107" s="64"/>
      <c r="W107" s="64"/>
      <c r="X107" s="64"/>
      <c r="Y107" s="64"/>
      <c r="Z107" s="64"/>
      <c r="AA107" s="64"/>
      <c r="AB107" s="64"/>
      <c r="AC107" s="64"/>
      <c r="AD107" s="64"/>
      <c r="AE107" s="64"/>
      <c r="AF107" s="64"/>
      <c r="AG107" s="64"/>
      <c r="AH107" s="64"/>
      <c r="AI107" s="64"/>
      <c r="AJ107" s="64"/>
      <c r="AK107" s="64"/>
      <c r="AL107" s="64"/>
      <c r="AM107" s="64"/>
      <c r="AN107" s="64"/>
    </row>
    <row r="108" spans="1:40" x14ac:dyDescent="0.35">
      <c r="A108" s="64"/>
      <c r="B108" s="64"/>
      <c r="C108" s="64"/>
      <c r="D108" s="64"/>
      <c r="E108" s="64"/>
      <c r="F108" s="64"/>
      <c r="G108" s="64"/>
      <c r="H108" s="64"/>
      <c r="I108" s="64"/>
      <c r="J108" s="64"/>
      <c r="K108" s="64"/>
      <c r="L108" s="64"/>
      <c r="M108" s="64"/>
      <c r="N108" s="64"/>
      <c r="O108" s="64"/>
      <c r="P108" s="64"/>
      <c r="Q108" s="64"/>
      <c r="R108" s="64"/>
      <c r="S108" s="64"/>
      <c r="T108" s="64"/>
      <c r="U108" s="64"/>
      <c r="V108" s="64"/>
      <c r="W108" s="64"/>
      <c r="X108" s="64"/>
      <c r="Y108" s="64"/>
      <c r="Z108" s="64"/>
      <c r="AA108" s="64"/>
      <c r="AB108" s="64"/>
      <c r="AC108" s="64"/>
      <c r="AD108" s="64"/>
      <c r="AE108" s="64"/>
      <c r="AF108" s="64"/>
      <c r="AG108" s="64"/>
      <c r="AH108" s="64"/>
      <c r="AI108" s="64"/>
      <c r="AJ108" s="64"/>
      <c r="AK108" s="64"/>
      <c r="AL108" s="64"/>
      <c r="AM108" s="64"/>
      <c r="AN108" s="64"/>
    </row>
    <row r="109" spans="1:40" x14ac:dyDescent="0.35">
      <c r="A109" s="64"/>
      <c r="B109" s="64"/>
      <c r="C109" s="64"/>
      <c r="D109" s="64"/>
      <c r="E109" s="64"/>
      <c r="F109" s="64"/>
      <c r="G109" s="64"/>
      <c r="H109" s="64"/>
      <c r="I109" s="64"/>
      <c r="J109" s="64"/>
      <c r="K109" s="64"/>
      <c r="L109" s="64"/>
      <c r="M109" s="64"/>
      <c r="N109" s="64"/>
      <c r="O109" s="64"/>
      <c r="P109" s="64"/>
      <c r="Q109" s="64"/>
      <c r="R109" s="64"/>
      <c r="S109" s="64"/>
      <c r="T109" s="64"/>
      <c r="U109" s="64"/>
      <c r="V109" s="64"/>
      <c r="W109" s="64"/>
      <c r="X109" s="64"/>
      <c r="Y109" s="64"/>
      <c r="Z109" s="64"/>
      <c r="AA109" s="64"/>
      <c r="AB109" s="64"/>
      <c r="AC109" s="64"/>
      <c r="AD109" s="64"/>
      <c r="AE109" s="64"/>
      <c r="AF109" s="64"/>
      <c r="AG109" s="64"/>
      <c r="AH109" s="64"/>
      <c r="AI109" s="64"/>
      <c r="AJ109" s="64"/>
      <c r="AK109" s="64"/>
      <c r="AL109" s="64"/>
      <c r="AM109" s="64"/>
      <c r="AN109" s="64"/>
    </row>
    <row r="110" spans="1:40" x14ac:dyDescent="0.35">
      <c r="A110" s="64"/>
      <c r="B110" s="64"/>
      <c r="C110" s="64"/>
      <c r="D110" s="64"/>
      <c r="E110" s="64"/>
      <c r="F110" s="64"/>
      <c r="G110" s="64"/>
      <c r="H110" s="64"/>
      <c r="I110" s="64"/>
      <c r="J110" s="64"/>
      <c r="K110" s="64"/>
      <c r="L110" s="64"/>
      <c r="M110" s="64"/>
      <c r="N110" s="64"/>
      <c r="O110" s="64"/>
      <c r="P110" s="64"/>
      <c r="Q110" s="64"/>
      <c r="R110" s="64"/>
      <c r="S110" s="64"/>
      <c r="T110" s="64"/>
      <c r="U110" s="64"/>
      <c r="V110" s="64"/>
      <c r="W110" s="64"/>
      <c r="X110" s="64"/>
      <c r="Y110" s="64"/>
      <c r="Z110" s="64"/>
      <c r="AA110" s="64"/>
      <c r="AB110" s="64"/>
      <c r="AC110" s="64"/>
      <c r="AD110" s="64"/>
      <c r="AE110" s="64"/>
      <c r="AF110" s="64"/>
      <c r="AG110" s="64"/>
      <c r="AH110" s="64"/>
      <c r="AI110" s="64"/>
      <c r="AJ110" s="64"/>
      <c r="AK110" s="64"/>
      <c r="AL110" s="64"/>
      <c r="AM110" s="64"/>
      <c r="AN110" s="64"/>
    </row>
    <row r="111" spans="1:40" x14ac:dyDescent="0.35">
      <c r="A111" s="64"/>
      <c r="B111" s="64"/>
      <c r="C111" s="64"/>
      <c r="D111" s="64"/>
      <c r="E111" s="64"/>
      <c r="F111" s="64"/>
      <c r="G111" s="64"/>
      <c r="H111" s="64"/>
      <c r="I111" s="64"/>
      <c r="J111" s="64"/>
      <c r="K111" s="64"/>
      <c r="L111" s="64"/>
      <c r="M111" s="64"/>
      <c r="N111" s="64"/>
      <c r="O111" s="64"/>
      <c r="P111" s="64"/>
      <c r="Q111" s="64"/>
      <c r="R111" s="64"/>
      <c r="S111" s="64"/>
      <c r="T111" s="64"/>
      <c r="U111" s="64"/>
      <c r="V111" s="64"/>
      <c r="W111" s="64"/>
      <c r="X111" s="64"/>
      <c r="Y111" s="64"/>
      <c r="Z111" s="64"/>
      <c r="AA111" s="64"/>
      <c r="AB111" s="64"/>
      <c r="AC111" s="64"/>
      <c r="AD111" s="64"/>
      <c r="AE111" s="64"/>
      <c r="AF111" s="64"/>
      <c r="AG111" s="64"/>
      <c r="AH111" s="64"/>
      <c r="AI111" s="64"/>
      <c r="AJ111" s="64"/>
      <c r="AK111" s="64"/>
      <c r="AL111" s="64"/>
      <c r="AM111" s="64"/>
      <c r="AN111" s="64"/>
    </row>
    <row r="112" spans="1:40" x14ac:dyDescent="0.35">
      <c r="A112" s="64"/>
      <c r="B112" s="64"/>
      <c r="C112" s="64"/>
      <c r="D112" s="64"/>
      <c r="E112" s="64"/>
      <c r="F112" s="64"/>
      <c r="G112" s="64"/>
      <c r="H112" s="64"/>
      <c r="I112" s="64"/>
      <c r="J112" s="64"/>
      <c r="K112" s="64"/>
      <c r="L112" s="64"/>
      <c r="M112" s="64"/>
      <c r="N112" s="64"/>
      <c r="O112" s="64"/>
      <c r="P112" s="64"/>
      <c r="Q112" s="64"/>
      <c r="R112" s="64"/>
      <c r="S112" s="64"/>
      <c r="T112" s="64"/>
      <c r="U112" s="64"/>
      <c r="V112" s="64"/>
      <c r="W112" s="64"/>
      <c r="X112" s="64"/>
      <c r="Y112" s="64"/>
      <c r="Z112" s="64"/>
      <c r="AA112" s="64"/>
      <c r="AB112" s="64"/>
      <c r="AC112" s="64"/>
      <c r="AD112" s="64"/>
      <c r="AE112" s="64"/>
      <c r="AF112" s="64"/>
      <c r="AG112" s="64"/>
      <c r="AH112" s="64"/>
      <c r="AI112" s="64"/>
      <c r="AJ112" s="64"/>
      <c r="AK112" s="64"/>
      <c r="AL112" s="64"/>
      <c r="AM112" s="64"/>
      <c r="AN112" s="64"/>
    </row>
    <row r="113" spans="1:40" x14ac:dyDescent="0.35">
      <c r="A113" s="64"/>
      <c r="B113" s="64"/>
      <c r="C113" s="64"/>
      <c r="D113" s="64"/>
      <c r="E113" s="64"/>
      <c r="F113" s="64"/>
      <c r="G113" s="64"/>
      <c r="H113" s="64"/>
      <c r="I113" s="64"/>
      <c r="J113" s="64"/>
      <c r="K113" s="64"/>
      <c r="L113" s="64"/>
      <c r="M113" s="64"/>
      <c r="N113" s="64"/>
      <c r="O113" s="64"/>
      <c r="P113" s="64"/>
      <c r="Q113" s="64"/>
      <c r="R113" s="64"/>
      <c r="S113" s="64"/>
      <c r="T113" s="64"/>
      <c r="U113" s="64"/>
      <c r="V113" s="64"/>
      <c r="W113" s="64"/>
      <c r="X113" s="64"/>
      <c r="Y113" s="64"/>
      <c r="Z113" s="64"/>
      <c r="AA113" s="64"/>
      <c r="AB113" s="64"/>
      <c r="AC113" s="64"/>
      <c r="AD113" s="64"/>
      <c r="AE113" s="64"/>
      <c r="AF113" s="64"/>
      <c r="AG113" s="64"/>
      <c r="AH113" s="64"/>
      <c r="AI113" s="64"/>
      <c r="AJ113" s="64"/>
      <c r="AK113" s="64"/>
      <c r="AL113" s="64"/>
      <c r="AM113" s="64"/>
      <c r="AN113" s="64"/>
    </row>
    <row r="114" spans="1:40" x14ac:dyDescent="0.35">
      <c r="A114" s="64"/>
      <c r="B114" s="64"/>
      <c r="C114" s="64"/>
      <c r="D114" s="64"/>
      <c r="E114" s="64"/>
      <c r="F114" s="64"/>
      <c r="G114" s="64"/>
      <c r="H114" s="64"/>
      <c r="I114" s="64"/>
      <c r="J114" s="64"/>
      <c r="K114" s="64"/>
      <c r="L114" s="64"/>
      <c r="M114" s="64"/>
      <c r="N114" s="64"/>
      <c r="O114" s="64"/>
      <c r="P114" s="64"/>
      <c r="Q114" s="64"/>
      <c r="R114" s="64"/>
      <c r="S114" s="64"/>
      <c r="T114" s="64"/>
      <c r="U114" s="64"/>
      <c r="V114" s="64"/>
      <c r="W114" s="64"/>
      <c r="X114" s="64"/>
      <c r="Y114" s="64"/>
      <c r="Z114" s="64"/>
      <c r="AA114" s="64"/>
      <c r="AB114" s="64"/>
      <c r="AC114" s="64"/>
      <c r="AD114" s="64"/>
      <c r="AE114" s="64"/>
      <c r="AF114" s="64"/>
      <c r="AG114" s="64"/>
      <c r="AH114" s="64"/>
      <c r="AI114" s="64"/>
      <c r="AJ114" s="64"/>
      <c r="AK114" s="64"/>
      <c r="AL114" s="64"/>
      <c r="AM114" s="64"/>
      <c r="AN114" s="64"/>
    </row>
    <row r="115" spans="1:40" x14ac:dyDescent="0.35">
      <c r="A115" s="64"/>
      <c r="B115" s="64"/>
      <c r="C115" s="64"/>
      <c r="D115" s="64"/>
      <c r="E115" s="64"/>
      <c r="F115" s="64"/>
      <c r="G115" s="64"/>
      <c r="H115" s="64"/>
      <c r="I115" s="64"/>
      <c r="J115" s="64"/>
      <c r="K115" s="64"/>
      <c r="L115" s="64"/>
      <c r="M115" s="64"/>
      <c r="N115" s="64"/>
      <c r="O115" s="64"/>
      <c r="P115" s="64"/>
      <c r="Q115" s="64"/>
      <c r="R115" s="64"/>
      <c r="S115" s="64"/>
      <c r="T115" s="64"/>
      <c r="U115" s="64"/>
      <c r="V115" s="64"/>
      <c r="W115" s="64"/>
      <c r="X115" s="64"/>
      <c r="Y115" s="64"/>
      <c r="Z115" s="64"/>
      <c r="AA115" s="64"/>
      <c r="AB115" s="64"/>
      <c r="AC115" s="64"/>
      <c r="AD115" s="64"/>
      <c r="AE115" s="64"/>
      <c r="AF115" s="64"/>
      <c r="AG115" s="64"/>
      <c r="AH115" s="64"/>
      <c r="AI115" s="64"/>
      <c r="AJ115" s="64"/>
      <c r="AK115" s="64"/>
      <c r="AL115" s="64"/>
      <c r="AM115" s="64"/>
      <c r="AN115" s="64"/>
    </row>
    <row r="116" spans="1:40" x14ac:dyDescent="0.35">
      <c r="A116" s="64"/>
      <c r="B116" s="64"/>
      <c r="C116" s="64"/>
      <c r="D116" s="64"/>
      <c r="E116" s="64"/>
      <c r="F116" s="64"/>
      <c r="G116" s="64"/>
      <c r="H116" s="64"/>
      <c r="I116" s="64"/>
      <c r="J116" s="64"/>
      <c r="K116" s="64"/>
      <c r="L116" s="64"/>
      <c r="M116" s="64"/>
      <c r="N116" s="64"/>
      <c r="O116" s="64"/>
      <c r="P116" s="64"/>
      <c r="Q116" s="64"/>
      <c r="R116" s="64"/>
      <c r="S116" s="64"/>
      <c r="T116" s="64"/>
      <c r="U116" s="64"/>
      <c r="V116" s="64"/>
      <c r="W116" s="64"/>
      <c r="X116" s="64"/>
      <c r="Y116" s="64"/>
      <c r="Z116" s="64"/>
      <c r="AA116" s="64"/>
      <c r="AB116" s="64"/>
      <c r="AC116" s="64"/>
      <c r="AD116" s="64"/>
      <c r="AE116" s="64"/>
      <c r="AF116" s="64"/>
      <c r="AG116" s="64"/>
      <c r="AH116" s="64"/>
      <c r="AI116" s="64"/>
      <c r="AJ116" s="64"/>
      <c r="AK116" s="64"/>
      <c r="AL116" s="64"/>
      <c r="AM116" s="64"/>
      <c r="AN116" s="64"/>
    </row>
    <row r="117" spans="1:40" x14ac:dyDescent="0.35">
      <c r="A117" s="64"/>
      <c r="B117" s="64"/>
      <c r="C117" s="64"/>
      <c r="D117" s="64"/>
      <c r="E117" s="64"/>
      <c r="F117" s="64"/>
      <c r="G117" s="64"/>
      <c r="H117" s="64"/>
      <c r="I117" s="64"/>
      <c r="J117" s="64"/>
      <c r="K117" s="64"/>
      <c r="L117" s="64"/>
      <c r="M117" s="64"/>
      <c r="N117" s="64"/>
      <c r="O117" s="64"/>
      <c r="P117" s="64"/>
      <c r="Q117" s="64"/>
      <c r="R117" s="64"/>
      <c r="S117" s="64"/>
      <c r="T117" s="64"/>
      <c r="U117" s="64"/>
      <c r="V117" s="64"/>
      <c r="W117" s="64"/>
      <c r="X117" s="64"/>
      <c r="Y117" s="64"/>
      <c r="Z117" s="64"/>
      <c r="AA117" s="64"/>
      <c r="AB117" s="64"/>
      <c r="AC117" s="64"/>
      <c r="AD117" s="64"/>
      <c r="AE117" s="64"/>
      <c r="AF117" s="64"/>
      <c r="AG117" s="64"/>
      <c r="AH117" s="64"/>
      <c r="AI117" s="64"/>
      <c r="AJ117" s="64"/>
      <c r="AK117" s="64"/>
      <c r="AL117" s="64"/>
      <c r="AM117" s="64"/>
      <c r="AN117" s="64"/>
    </row>
    <row r="118" spans="1:40" x14ac:dyDescent="0.35">
      <c r="A118" s="64"/>
      <c r="B118" s="64"/>
      <c r="C118" s="64"/>
      <c r="D118" s="64"/>
      <c r="E118" s="64"/>
      <c r="F118" s="64"/>
      <c r="G118" s="64"/>
      <c r="H118" s="64"/>
      <c r="I118" s="64"/>
      <c r="J118" s="64"/>
      <c r="K118" s="64"/>
      <c r="L118" s="64"/>
      <c r="M118" s="64"/>
      <c r="N118" s="64"/>
      <c r="O118" s="64"/>
      <c r="P118" s="64"/>
      <c r="Q118" s="64"/>
      <c r="R118" s="64"/>
      <c r="S118" s="64"/>
      <c r="T118" s="64"/>
      <c r="U118" s="64"/>
      <c r="V118" s="64"/>
      <c r="W118" s="64"/>
      <c r="X118" s="64"/>
      <c r="Y118" s="64"/>
      <c r="Z118" s="64"/>
      <c r="AA118" s="64"/>
      <c r="AB118" s="64"/>
      <c r="AC118" s="64"/>
      <c r="AD118" s="64"/>
      <c r="AE118" s="64"/>
      <c r="AF118" s="64"/>
      <c r="AG118" s="64"/>
      <c r="AH118" s="64"/>
      <c r="AI118" s="64"/>
      <c r="AJ118" s="64"/>
      <c r="AK118" s="64"/>
      <c r="AL118" s="64"/>
      <c r="AM118" s="64"/>
      <c r="AN118" s="64"/>
    </row>
    <row r="119" spans="1:40" x14ac:dyDescent="0.35">
      <c r="A119" s="64"/>
      <c r="B119" s="64"/>
      <c r="C119" s="64"/>
      <c r="D119" s="64"/>
      <c r="E119" s="64"/>
      <c r="F119" s="64"/>
      <c r="G119" s="64"/>
      <c r="H119" s="64"/>
      <c r="I119" s="64"/>
      <c r="J119" s="64"/>
      <c r="K119" s="64"/>
      <c r="L119" s="64"/>
      <c r="M119" s="64"/>
      <c r="N119" s="64"/>
      <c r="O119" s="64"/>
      <c r="P119" s="64"/>
      <c r="Q119" s="64"/>
      <c r="R119" s="64"/>
      <c r="S119" s="64"/>
      <c r="T119" s="64"/>
      <c r="U119" s="64"/>
      <c r="V119" s="64"/>
      <c r="W119" s="64"/>
      <c r="X119" s="64"/>
      <c r="Y119" s="64"/>
      <c r="Z119" s="64"/>
      <c r="AA119" s="64"/>
      <c r="AB119" s="64"/>
      <c r="AC119" s="64"/>
      <c r="AD119" s="64"/>
      <c r="AE119" s="64"/>
      <c r="AF119" s="64"/>
      <c r="AG119" s="64"/>
      <c r="AH119" s="64"/>
      <c r="AI119" s="64"/>
      <c r="AJ119" s="64"/>
      <c r="AK119" s="64"/>
      <c r="AL119" s="64"/>
      <c r="AM119" s="64"/>
      <c r="AN119" s="64"/>
    </row>
    <row r="120" spans="1:40" x14ac:dyDescent="0.35">
      <c r="A120" s="64"/>
      <c r="B120" s="64"/>
      <c r="C120" s="64"/>
      <c r="D120" s="64"/>
      <c r="E120" s="64"/>
      <c r="F120" s="64"/>
      <c r="G120" s="64"/>
      <c r="H120" s="64"/>
      <c r="I120" s="64"/>
      <c r="J120" s="64"/>
      <c r="K120" s="64"/>
      <c r="L120" s="64"/>
      <c r="M120" s="64"/>
      <c r="N120" s="64"/>
      <c r="O120" s="64"/>
      <c r="P120" s="64"/>
      <c r="Q120" s="64"/>
      <c r="R120" s="64"/>
      <c r="S120" s="64"/>
      <c r="T120" s="64"/>
      <c r="U120" s="64"/>
      <c r="V120" s="64"/>
      <c r="W120" s="64"/>
      <c r="X120" s="64"/>
      <c r="Y120" s="64"/>
      <c r="Z120" s="64"/>
      <c r="AA120" s="64"/>
      <c r="AB120" s="64"/>
      <c r="AC120" s="64"/>
      <c r="AD120" s="64"/>
      <c r="AE120" s="64"/>
      <c r="AF120" s="64"/>
      <c r="AG120" s="64"/>
      <c r="AH120" s="64"/>
      <c r="AI120" s="64"/>
      <c r="AJ120" s="64"/>
      <c r="AK120" s="64"/>
      <c r="AL120" s="64"/>
      <c r="AM120" s="64"/>
      <c r="AN120" s="64"/>
    </row>
    <row r="121" spans="1:40" x14ac:dyDescent="0.35">
      <c r="A121" s="64"/>
      <c r="B121" s="64"/>
      <c r="C121" s="64"/>
      <c r="D121" s="64"/>
      <c r="E121" s="64"/>
      <c r="F121" s="64"/>
      <c r="G121" s="64"/>
      <c r="H121" s="64"/>
      <c r="I121" s="64"/>
      <c r="J121" s="64"/>
      <c r="K121" s="64"/>
      <c r="L121" s="64"/>
      <c r="M121" s="64"/>
      <c r="N121" s="64"/>
      <c r="O121" s="64"/>
      <c r="P121" s="64"/>
      <c r="Q121" s="64"/>
      <c r="R121" s="64"/>
      <c r="S121" s="64"/>
      <c r="T121" s="64"/>
      <c r="U121" s="64"/>
      <c r="V121" s="64"/>
      <c r="W121" s="64"/>
      <c r="X121" s="64"/>
      <c r="Y121" s="64"/>
      <c r="Z121" s="64"/>
      <c r="AA121" s="64"/>
      <c r="AB121" s="64"/>
      <c r="AC121" s="64"/>
      <c r="AD121" s="64"/>
      <c r="AE121" s="64"/>
      <c r="AF121" s="64"/>
      <c r="AG121" s="64"/>
      <c r="AH121" s="64"/>
      <c r="AI121" s="64"/>
      <c r="AJ121" s="64"/>
      <c r="AK121" s="64"/>
      <c r="AL121" s="64"/>
      <c r="AM121" s="64"/>
      <c r="AN121" s="64"/>
    </row>
    <row r="122" spans="1:40" x14ac:dyDescent="0.35">
      <c r="A122" s="64"/>
      <c r="B122" s="64"/>
      <c r="C122" s="64"/>
      <c r="D122" s="64"/>
      <c r="E122" s="64"/>
      <c r="F122" s="64"/>
      <c r="G122" s="64"/>
      <c r="H122" s="64"/>
      <c r="I122" s="64"/>
      <c r="J122" s="64"/>
      <c r="K122" s="64"/>
      <c r="L122" s="64"/>
      <c r="M122" s="64"/>
      <c r="N122" s="64"/>
      <c r="O122" s="64"/>
      <c r="P122" s="64"/>
      <c r="Q122" s="64"/>
      <c r="R122" s="64"/>
      <c r="S122" s="64"/>
      <c r="T122" s="64"/>
      <c r="U122" s="64"/>
      <c r="V122" s="64"/>
      <c r="W122" s="64"/>
      <c r="X122" s="64"/>
      <c r="Y122" s="64"/>
      <c r="Z122" s="64"/>
      <c r="AA122" s="64"/>
      <c r="AB122" s="64"/>
      <c r="AC122" s="64"/>
      <c r="AD122" s="64"/>
      <c r="AE122" s="64"/>
      <c r="AF122" s="64"/>
      <c r="AG122" s="64"/>
      <c r="AH122" s="64"/>
      <c r="AI122" s="64"/>
      <c r="AJ122" s="64"/>
      <c r="AK122" s="64"/>
      <c r="AL122" s="64"/>
      <c r="AM122" s="64"/>
      <c r="AN122" s="64"/>
    </row>
    <row r="123" spans="1:40" x14ac:dyDescent="0.35">
      <c r="A123" s="64"/>
      <c r="B123" s="64"/>
      <c r="C123" s="64"/>
      <c r="D123" s="64"/>
      <c r="E123" s="64"/>
      <c r="F123" s="64"/>
      <c r="G123" s="64"/>
      <c r="H123" s="64"/>
      <c r="I123" s="64"/>
      <c r="J123" s="64"/>
      <c r="K123" s="64"/>
      <c r="L123" s="64"/>
      <c r="M123" s="64"/>
      <c r="N123" s="64"/>
      <c r="O123" s="64"/>
      <c r="P123" s="64"/>
      <c r="Q123" s="64"/>
      <c r="R123" s="64"/>
      <c r="S123" s="64"/>
      <c r="T123" s="64"/>
      <c r="U123" s="64"/>
      <c r="V123" s="64"/>
      <c r="W123" s="64"/>
      <c r="X123" s="64"/>
      <c r="Y123" s="64"/>
      <c r="Z123" s="64"/>
      <c r="AA123" s="64"/>
      <c r="AB123" s="64"/>
      <c r="AC123" s="64"/>
      <c r="AD123" s="64"/>
      <c r="AE123" s="64"/>
      <c r="AF123" s="64"/>
      <c r="AG123" s="64"/>
      <c r="AH123" s="64"/>
      <c r="AI123" s="64"/>
      <c r="AJ123" s="64"/>
      <c r="AK123" s="64"/>
      <c r="AL123" s="64"/>
      <c r="AM123" s="64"/>
      <c r="AN123" s="64"/>
    </row>
    <row r="124" spans="1:40" x14ac:dyDescent="0.35">
      <c r="A124" s="64"/>
      <c r="B124" s="64"/>
      <c r="C124" s="64"/>
      <c r="D124" s="64"/>
      <c r="E124" s="64"/>
      <c r="F124" s="64"/>
      <c r="G124" s="64"/>
      <c r="H124" s="64"/>
      <c r="I124" s="64"/>
      <c r="J124" s="64"/>
      <c r="K124" s="64"/>
      <c r="L124" s="64"/>
      <c r="M124" s="64"/>
      <c r="N124" s="64"/>
      <c r="O124" s="64"/>
      <c r="P124" s="64"/>
      <c r="Q124" s="64"/>
      <c r="R124" s="64"/>
      <c r="S124" s="64"/>
      <c r="T124" s="64"/>
      <c r="U124" s="64"/>
      <c r="V124" s="64"/>
      <c r="W124" s="64"/>
      <c r="X124" s="64"/>
      <c r="Y124" s="64"/>
      <c r="Z124" s="64"/>
      <c r="AA124" s="64"/>
      <c r="AB124" s="64"/>
      <c r="AC124" s="64"/>
      <c r="AD124" s="64"/>
      <c r="AE124" s="64"/>
      <c r="AF124" s="64"/>
      <c r="AG124" s="64"/>
      <c r="AH124" s="64"/>
      <c r="AI124" s="64"/>
      <c r="AJ124" s="64"/>
      <c r="AK124" s="64"/>
      <c r="AL124" s="64"/>
      <c r="AM124" s="64"/>
      <c r="AN124" s="64"/>
    </row>
    <row r="125" spans="1:40" x14ac:dyDescent="0.35">
      <c r="A125" s="64"/>
      <c r="B125" s="64"/>
      <c r="C125" s="64"/>
      <c r="D125" s="64"/>
      <c r="E125" s="64"/>
      <c r="F125" s="64"/>
      <c r="G125" s="64"/>
      <c r="H125" s="64"/>
      <c r="I125" s="64"/>
      <c r="J125" s="64"/>
      <c r="K125" s="64"/>
      <c r="L125" s="64"/>
      <c r="M125" s="64"/>
      <c r="N125" s="64"/>
      <c r="O125" s="64"/>
      <c r="P125" s="64"/>
      <c r="Q125" s="64"/>
      <c r="R125" s="64"/>
      <c r="S125" s="64"/>
      <c r="T125" s="64"/>
      <c r="U125" s="64"/>
      <c r="V125" s="64"/>
      <c r="W125" s="64"/>
      <c r="X125" s="64"/>
      <c r="Y125" s="64"/>
      <c r="Z125" s="64"/>
      <c r="AA125" s="64"/>
      <c r="AB125" s="64"/>
      <c r="AC125" s="64"/>
      <c r="AD125" s="64"/>
      <c r="AE125" s="64"/>
      <c r="AF125" s="64"/>
      <c r="AG125" s="64"/>
      <c r="AH125" s="64"/>
      <c r="AI125" s="64"/>
      <c r="AJ125" s="64"/>
      <c r="AK125" s="64"/>
      <c r="AL125" s="64"/>
      <c r="AM125" s="64"/>
      <c r="AN125" s="64"/>
    </row>
    <row r="126" spans="1:40" x14ac:dyDescent="0.35">
      <c r="A126" s="64"/>
      <c r="B126" s="64"/>
      <c r="C126" s="64"/>
      <c r="D126" s="64"/>
      <c r="E126" s="64"/>
      <c r="F126" s="64"/>
      <c r="G126" s="64"/>
      <c r="H126" s="64"/>
      <c r="I126" s="64"/>
      <c r="J126" s="64"/>
      <c r="K126" s="64"/>
      <c r="L126" s="64"/>
      <c r="M126" s="64"/>
      <c r="N126" s="64"/>
      <c r="O126" s="64"/>
      <c r="P126" s="64"/>
      <c r="Q126" s="64"/>
      <c r="R126" s="64"/>
      <c r="S126" s="64"/>
      <c r="T126" s="64"/>
      <c r="U126" s="64"/>
      <c r="V126" s="64"/>
      <c r="W126" s="64"/>
      <c r="X126" s="64"/>
      <c r="Y126" s="64"/>
      <c r="Z126" s="64"/>
      <c r="AA126" s="64"/>
      <c r="AB126" s="64"/>
      <c r="AC126" s="64"/>
      <c r="AD126" s="64"/>
      <c r="AE126" s="64"/>
      <c r="AF126" s="64"/>
      <c r="AG126" s="64"/>
      <c r="AH126" s="64"/>
      <c r="AI126" s="64"/>
      <c r="AJ126" s="64"/>
      <c r="AK126" s="64"/>
      <c r="AL126" s="64"/>
      <c r="AM126" s="64"/>
      <c r="AN126" s="64"/>
    </row>
    <row r="127" spans="1:40" x14ac:dyDescent="0.35">
      <c r="A127" s="64"/>
      <c r="B127" s="64"/>
      <c r="C127" s="64"/>
      <c r="D127" s="64"/>
      <c r="E127" s="64"/>
      <c r="F127" s="64"/>
      <c r="G127" s="64"/>
      <c r="H127" s="64"/>
      <c r="I127" s="64"/>
      <c r="J127" s="64"/>
      <c r="K127" s="64"/>
      <c r="L127" s="64"/>
      <c r="M127" s="64"/>
      <c r="N127" s="64"/>
      <c r="O127" s="64"/>
      <c r="P127" s="64"/>
      <c r="Q127" s="64"/>
      <c r="R127" s="64"/>
      <c r="S127" s="64"/>
      <c r="T127" s="64"/>
      <c r="U127" s="64"/>
      <c r="V127" s="64"/>
      <c r="W127" s="64"/>
      <c r="X127" s="64"/>
      <c r="Y127" s="64"/>
      <c r="Z127" s="64"/>
      <c r="AA127" s="64"/>
      <c r="AB127" s="64"/>
      <c r="AC127" s="64"/>
      <c r="AD127" s="64"/>
      <c r="AE127" s="64"/>
      <c r="AF127" s="64"/>
      <c r="AG127" s="64"/>
      <c r="AH127" s="64"/>
      <c r="AI127" s="64"/>
      <c r="AJ127" s="64"/>
      <c r="AK127" s="64"/>
      <c r="AL127" s="64"/>
      <c r="AM127" s="64"/>
      <c r="AN127" s="64"/>
    </row>
    <row r="128" spans="1:40" x14ac:dyDescent="0.35">
      <c r="A128" s="64"/>
      <c r="B128" s="64"/>
      <c r="C128" s="64"/>
      <c r="D128" s="64"/>
      <c r="E128" s="64"/>
      <c r="F128" s="64"/>
      <c r="G128" s="64"/>
      <c r="H128" s="64"/>
      <c r="I128" s="64"/>
      <c r="J128" s="64"/>
      <c r="K128" s="64"/>
      <c r="L128" s="64"/>
      <c r="M128" s="64"/>
      <c r="N128" s="64"/>
      <c r="O128" s="64"/>
      <c r="P128" s="64"/>
      <c r="Q128" s="64"/>
      <c r="R128" s="64"/>
      <c r="S128" s="64"/>
      <c r="T128" s="64"/>
      <c r="U128" s="64"/>
      <c r="V128" s="64"/>
      <c r="W128" s="64"/>
      <c r="X128" s="64"/>
      <c r="Y128" s="64"/>
      <c r="Z128" s="64"/>
      <c r="AA128" s="64"/>
      <c r="AB128" s="64"/>
      <c r="AC128" s="64"/>
      <c r="AD128" s="64"/>
      <c r="AE128" s="64"/>
      <c r="AF128" s="64"/>
      <c r="AG128" s="64"/>
      <c r="AH128" s="64"/>
      <c r="AI128" s="64"/>
      <c r="AJ128" s="64"/>
      <c r="AK128" s="64"/>
      <c r="AL128" s="64"/>
      <c r="AM128" s="64"/>
      <c r="AN128" s="64"/>
    </row>
    <row r="129" spans="1:40" x14ac:dyDescent="0.35">
      <c r="A129" s="64"/>
      <c r="B129" s="64"/>
      <c r="C129" s="64"/>
      <c r="D129" s="64"/>
      <c r="E129" s="64"/>
      <c r="F129" s="64"/>
      <c r="G129" s="64"/>
      <c r="H129" s="64"/>
      <c r="I129" s="64"/>
      <c r="J129" s="64"/>
      <c r="K129" s="64"/>
      <c r="L129" s="64"/>
      <c r="M129" s="64"/>
      <c r="N129" s="64"/>
      <c r="O129" s="64"/>
      <c r="P129" s="64"/>
      <c r="Q129" s="64"/>
      <c r="R129" s="64"/>
      <c r="S129" s="64"/>
      <c r="T129" s="64"/>
      <c r="U129" s="64"/>
      <c r="V129" s="64"/>
      <c r="W129" s="64"/>
      <c r="X129" s="64"/>
      <c r="Y129" s="64"/>
      <c r="Z129" s="64"/>
      <c r="AA129" s="64"/>
      <c r="AB129" s="64"/>
      <c r="AC129" s="64"/>
      <c r="AD129" s="64"/>
      <c r="AE129" s="64"/>
      <c r="AF129" s="64"/>
      <c r="AG129" s="64"/>
      <c r="AH129" s="64"/>
      <c r="AI129" s="64"/>
      <c r="AJ129" s="64"/>
      <c r="AK129" s="64"/>
      <c r="AL129" s="64"/>
      <c r="AM129" s="64"/>
      <c r="AN129" s="64"/>
    </row>
    <row r="130" spans="1:40" x14ac:dyDescent="0.35">
      <c r="A130" s="64"/>
      <c r="B130" s="64"/>
      <c r="C130" s="64"/>
      <c r="D130" s="64"/>
      <c r="E130" s="64"/>
      <c r="F130" s="64"/>
      <c r="G130" s="64"/>
      <c r="H130" s="64"/>
      <c r="I130" s="64"/>
      <c r="J130" s="64"/>
      <c r="K130" s="64"/>
      <c r="L130" s="64"/>
      <c r="M130" s="64"/>
      <c r="N130" s="64"/>
      <c r="O130" s="64"/>
      <c r="P130" s="64"/>
      <c r="Q130" s="64"/>
      <c r="R130" s="64"/>
      <c r="S130" s="64"/>
      <c r="T130" s="64"/>
      <c r="U130" s="64"/>
      <c r="V130" s="64"/>
      <c r="W130" s="64"/>
      <c r="X130" s="64"/>
      <c r="Y130" s="64"/>
      <c r="Z130" s="64"/>
      <c r="AA130" s="64"/>
      <c r="AB130" s="64"/>
      <c r="AC130" s="64"/>
      <c r="AD130" s="64"/>
      <c r="AE130" s="64"/>
      <c r="AF130" s="64"/>
      <c r="AG130" s="64"/>
      <c r="AH130" s="64"/>
      <c r="AI130" s="64"/>
      <c r="AJ130" s="64"/>
      <c r="AK130" s="64"/>
      <c r="AL130" s="64"/>
      <c r="AM130" s="64"/>
      <c r="AN130" s="64"/>
    </row>
    <row r="131" spans="1:40" x14ac:dyDescent="0.35">
      <c r="A131" s="64"/>
      <c r="B131" s="64"/>
      <c r="C131" s="64"/>
      <c r="D131" s="64"/>
      <c r="E131" s="64"/>
      <c r="F131" s="64"/>
      <c r="G131" s="64"/>
      <c r="H131" s="64"/>
      <c r="I131" s="64"/>
      <c r="J131" s="64"/>
      <c r="K131" s="64"/>
      <c r="L131" s="64"/>
      <c r="M131" s="64"/>
      <c r="N131" s="64"/>
      <c r="O131" s="64"/>
      <c r="P131" s="64"/>
      <c r="Q131" s="64"/>
      <c r="R131" s="64"/>
      <c r="S131" s="64"/>
      <c r="T131" s="64"/>
      <c r="U131" s="64"/>
      <c r="V131" s="64"/>
      <c r="W131" s="64"/>
      <c r="X131" s="64"/>
      <c r="Y131" s="64"/>
      <c r="Z131" s="64"/>
      <c r="AA131" s="64"/>
      <c r="AB131" s="64"/>
      <c r="AC131" s="64"/>
      <c r="AD131" s="64"/>
      <c r="AE131" s="64"/>
      <c r="AF131" s="64"/>
      <c r="AG131" s="64"/>
      <c r="AH131" s="64"/>
      <c r="AI131" s="64"/>
      <c r="AJ131" s="64"/>
      <c r="AK131" s="64"/>
      <c r="AL131" s="64"/>
      <c r="AM131" s="64"/>
      <c r="AN131" s="64"/>
    </row>
    <row r="132" spans="1:40" x14ac:dyDescent="0.35">
      <c r="A132" s="64"/>
      <c r="B132" s="64"/>
      <c r="C132" s="64"/>
      <c r="D132" s="64"/>
      <c r="E132" s="64"/>
      <c r="F132" s="64"/>
      <c r="G132" s="64"/>
      <c r="H132" s="64"/>
      <c r="I132" s="64"/>
      <c r="J132" s="64"/>
      <c r="K132" s="64"/>
      <c r="L132" s="64"/>
      <c r="M132" s="64"/>
      <c r="N132" s="64"/>
      <c r="O132" s="64"/>
      <c r="P132" s="64"/>
      <c r="Q132" s="64"/>
      <c r="R132" s="64"/>
      <c r="S132" s="64"/>
      <c r="T132" s="64"/>
      <c r="U132" s="64"/>
      <c r="V132" s="64"/>
      <c r="W132" s="64"/>
      <c r="X132" s="64"/>
      <c r="Y132" s="64"/>
      <c r="Z132" s="64"/>
      <c r="AA132" s="64"/>
      <c r="AB132" s="64"/>
      <c r="AC132" s="64"/>
      <c r="AD132" s="64"/>
      <c r="AE132" s="64"/>
      <c r="AF132" s="64"/>
      <c r="AG132" s="64"/>
      <c r="AH132" s="64"/>
      <c r="AI132" s="64"/>
      <c r="AJ132" s="64"/>
      <c r="AK132" s="64"/>
      <c r="AL132" s="64"/>
      <c r="AM132" s="64"/>
      <c r="AN132" s="64"/>
    </row>
    <row r="133" spans="1:40" x14ac:dyDescent="0.35">
      <c r="A133" s="64"/>
      <c r="B133" s="64"/>
      <c r="C133" s="64"/>
      <c r="D133" s="64"/>
      <c r="E133" s="64"/>
      <c r="F133" s="64"/>
      <c r="G133" s="64"/>
      <c r="H133" s="64"/>
      <c r="I133" s="64"/>
      <c r="J133" s="64"/>
      <c r="K133" s="64"/>
      <c r="L133" s="64"/>
      <c r="M133" s="64"/>
      <c r="N133" s="64"/>
      <c r="O133" s="64"/>
      <c r="P133" s="64"/>
      <c r="Q133" s="64"/>
      <c r="R133" s="64"/>
      <c r="S133" s="64"/>
      <c r="T133" s="64"/>
      <c r="U133" s="64"/>
      <c r="V133" s="64"/>
      <c r="W133" s="64"/>
      <c r="X133" s="64"/>
      <c r="Y133" s="64"/>
      <c r="Z133" s="64"/>
      <c r="AA133" s="64"/>
      <c r="AB133" s="64"/>
      <c r="AC133" s="64"/>
      <c r="AD133" s="64"/>
      <c r="AE133" s="64"/>
      <c r="AF133" s="64"/>
      <c r="AG133" s="64"/>
      <c r="AH133" s="64"/>
      <c r="AI133" s="64"/>
      <c r="AJ133" s="64"/>
      <c r="AK133" s="64"/>
      <c r="AL133" s="64"/>
      <c r="AM133" s="64"/>
      <c r="AN133" s="64"/>
    </row>
    <row r="134" spans="1:40" x14ac:dyDescent="0.35">
      <c r="A134" s="64"/>
      <c r="B134" s="64"/>
      <c r="C134" s="64"/>
      <c r="D134" s="64"/>
      <c r="E134" s="64"/>
      <c r="F134" s="64"/>
      <c r="G134" s="64"/>
      <c r="H134" s="64"/>
      <c r="I134" s="64"/>
      <c r="J134" s="64"/>
      <c r="K134" s="64"/>
      <c r="L134" s="64"/>
      <c r="M134" s="64"/>
      <c r="N134" s="64"/>
      <c r="O134" s="64"/>
      <c r="P134" s="64"/>
      <c r="Q134" s="64"/>
      <c r="R134" s="64"/>
      <c r="S134" s="64"/>
      <c r="T134" s="64"/>
      <c r="U134" s="64"/>
      <c r="V134" s="64"/>
      <c r="W134" s="64"/>
      <c r="X134" s="64"/>
      <c r="Y134" s="64"/>
      <c r="Z134" s="64"/>
      <c r="AA134" s="64"/>
      <c r="AB134" s="64"/>
      <c r="AC134" s="64"/>
      <c r="AD134" s="64"/>
      <c r="AE134" s="64"/>
      <c r="AF134" s="64"/>
      <c r="AG134" s="64"/>
      <c r="AH134" s="64"/>
      <c r="AI134" s="64"/>
      <c r="AJ134" s="64"/>
      <c r="AK134" s="64"/>
      <c r="AL134" s="64"/>
      <c r="AM134" s="64"/>
      <c r="AN134" s="64"/>
    </row>
    <row r="135" spans="1:40" x14ac:dyDescent="0.35">
      <c r="A135" s="64"/>
      <c r="B135" s="64"/>
      <c r="C135" s="64"/>
      <c r="D135" s="64"/>
      <c r="E135" s="64"/>
      <c r="F135" s="64"/>
      <c r="G135" s="64"/>
      <c r="H135" s="64"/>
      <c r="I135" s="64"/>
      <c r="J135" s="64"/>
      <c r="K135" s="64"/>
      <c r="L135" s="64"/>
      <c r="M135" s="64"/>
      <c r="N135" s="64"/>
      <c r="O135" s="64"/>
      <c r="P135" s="64"/>
      <c r="Q135" s="64"/>
      <c r="R135" s="64"/>
      <c r="S135" s="64"/>
      <c r="T135" s="64"/>
      <c r="U135" s="64"/>
      <c r="V135" s="64"/>
      <c r="W135" s="64"/>
      <c r="X135" s="64"/>
      <c r="Y135" s="64"/>
      <c r="Z135" s="64"/>
      <c r="AA135" s="64"/>
      <c r="AB135" s="64"/>
      <c r="AC135" s="64"/>
      <c r="AD135" s="64"/>
      <c r="AE135" s="64"/>
      <c r="AF135" s="64"/>
      <c r="AG135" s="64"/>
      <c r="AH135" s="64"/>
      <c r="AI135" s="64"/>
      <c r="AJ135" s="64"/>
      <c r="AK135" s="64"/>
      <c r="AL135" s="64"/>
      <c r="AM135" s="64"/>
      <c r="AN135" s="64"/>
    </row>
    <row r="136" spans="1:40" x14ac:dyDescent="0.35">
      <c r="A136" s="64"/>
      <c r="B136" s="64"/>
      <c r="C136" s="64"/>
      <c r="D136" s="64"/>
      <c r="E136" s="64"/>
      <c r="F136" s="64"/>
      <c r="G136" s="64"/>
      <c r="H136" s="64"/>
      <c r="I136" s="64"/>
      <c r="J136" s="64"/>
      <c r="K136" s="64"/>
      <c r="L136" s="64"/>
      <c r="M136" s="64"/>
      <c r="N136" s="64"/>
      <c r="O136" s="64"/>
      <c r="P136" s="64"/>
      <c r="Q136" s="64"/>
      <c r="R136" s="64"/>
      <c r="S136" s="64"/>
      <c r="T136" s="64"/>
      <c r="U136" s="64"/>
      <c r="V136" s="64"/>
      <c r="W136" s="64"/>
      <c r="X136" s="64"/>
      <c r="Y136" s="64"/>
      <c r="Z136" s="64"/>
      <c r="AA136" s="64"/>
      <c r="AB136" s="64"/>
      <c r="AC136" s="64"/>
      <c r="AD136" s="64"/>
      <c r="AE136" s="64"/>
      <c r="AF136" s="64"/>
      <c r="AG136" s="64"/>
      <c r="AH136" s="64"/>
      <c r="AI136" s="64"/>
      <c r="AJ136" s="64"/>
      <c r="AK136" s="64"/>
      <c r="AL136" s="64"/>
      <c r="AM136" s="64"/>
      <c r="AN136" s="64"/>
    </row>
    <row r="137" spans="1:40" x14ac:dyDescent="0.35">
      <c r="A137" s="64"/>
      <c r="B137" s="64"/>
      <c r="C137" s="64"/>
      <c r="D137" s="64"/>
      <c r="E137" s="64"/>
      <c r="F137" s="64"/>
      <c r="G137" s="64"/>
      <c r="H137" s="64"/>
      <c r="I137" s="64"/>
      <c r="J137" s="64"/>
      <c r="K137" s="64"/>
      <c r="L137" s="64"/>
      <c r="M137" s="64"/>
      <c r="N137" s="64"/>
      <c r="O137" s="64"/>
      <c r="P137" s="64"/>
      <c r="Q137" s="64"/>
      <c r="R137" s="64"/>
      <c r="S137" s="64"/>
      <c r="T137" s="64"/>
      <c r="U137" s="64"/>
      <c r="V137" s="64"/>
      <c r="W137" s="64"/>
      <c r="X137" s="64"/>
      <c r="Y137" s="64"/>
      <c r="Z137" s="64"/>
      <c r="AA137" s="64"/>
      <c r="AB137" s="64"/>
      <c r="AC137" s="64"/>
      <c r="AD137" s="64"/>
      <c r="AE137" s="64"/>
      <c r="AF137" s="64"/>
      <c r="AG137" s="64"/>
      <c r="AH137" s="64"/>
      <c r="AI137" s="64"/>
      <c r="AJ137" s="64"/>
      <c r="AK137" s="64"/>
      <c r="AL137" s="64"/>
      <c r="AM137" s="64"/>
      <c r="AN137" s="64"/>
    </row>
    <row r="138" spans="1:40" x14ac:dyDescent="0.35">
      <c r="A138" s="64"/>
      <c r="B138" s="64"/>
      <c r="C138" s="64"/>
      <c r="D138" s="64"/>
      <c r="E138" s="64"/>
      <c r="F138" s="64"/>
      <c r="G138" s="64"/>
      <c r="H138" s="64"/>
      <c r="I138" s="64"/>
      <c r="J138" s="64"/>
      <c r="K138" s="64"/>
      <c r="L138" s="64"/>
      <c r="M138" s="64"/>
      <c r="N138" s="64"/>
      <c r="O138" s="64"/>
      <c r="P138" s="64"/>
      <c r="Q138" s="64"/>
      <c r="R138" s="64"/>
      <c r="S138" s="64"/>
      <c r="T138" s="64"/>
      <c r="U138" s="64"/>
      <c r="V138" s="64"/>
      <c r="W138" s="64"/>
      <c r="X138" s="64"/>
      <c r="Y138" s="64"/>
      <c r="Z138" s="64"/>
      <c r="AA138" s="64"/>
      <c r="AB138" s="64"/>
      <c r="AC138" s="64"/>
      <c r="AD138" s="64"/>
      <c r="AE138" s="64"/>
      <c r="AF138" s="64"/>
      <c r="AG138" s="64"/>
      <c r="AH138" s="64"/>
      <c r="AI138" s="64"/>
      <c r="AJ138" s="64"/>
      <c r="AK138" s="64"/>
      <c r="AL138" s="64"/>
      <c r="AM138" s="64"/>
      <c r="AN138" s="64"/>
    </row>
    <row r="139" spans="1:40" x14ac:dyDescent="0.35">
      <c r="A139" s="64"/>
      <c r="B139" s="64"/>
      <c r="C139" s="64"/>
      <c r="D139" s="64"/>
      <c r="E139" s="64"/>
      <c r="F139" s="64"/>
      <c r="G139" s="64"/>
      <c r="H139" s="64"/>
      <c r="I139" s="64"/>
      <c r="J139" s="64"/>
      <c r="K139" s="64"/>
      <c r="L139" s="64"/>
      <c r="M139" s="64"/>
      <c r="N139" s="64"/>
      <c r="O139" s="64"/>
      <c r="P139" s="64"/>
      <c r="Q139" s="64"/>
      <c r="R139" s="64"/>
      <c r="S139" s="64"/>
      <c r="T139" s="64"/>
      <c r="U139" s="64"/>
      <c r="V139" s="64"/>
      <c r="W139" s="64"/>
      <c r="X139" s="64"/>
      <c r="Y139" s="64"/>
      <c r="Z139" s="64"/>
      <c r="AA139" s="64"/>
      <c r="AB139" s="64"/>
      <c r="AC139" s="64"/>
      <c r="AD139" s="64"/>
      <c r="AE139" s="64"/>
      <c r="AF139" s="64"/>
      <c r="AG139" s="64"/>
      <c r="AH139" s="64"/>
      <c r="AI139" s="64"/>
      <c r="AJ139" s="64"/>
      <c r="AK139" s="64"/>
      <c r="AL139" s="64"/>
      <c r="AM139" s="64"/>
      <c r="AN139" s="64"/>
    </row>
    <row r="140" spans="1:40" x14ac:dyDescent="0.35">
      <c r="A140" s="64"/>
      <c r="B140" s="64"/>
      <c r="C140" s="64"/>
      <c r="D140" s="64"/>
      <c r="E140" s="64"/>
      <c r="F140" s="64"/>
      <c r="G140" s="64"/>
      <c r="H140" s="64"/>
      <c r="I140" s="64"/>
      <c r="J140" s="64"/>
      <c r="K140" s="64"/>
      <c r="L140" s="64"/>
      <c r="M140" s="64"/>
      <c r="N140" s="64"/>
      <c r="O140" s="64"/>
      <c r="P140" s="64"/>
      <c r="Q140" s="64"/>
      <c r="R140" s="64"/>
      <c r="S140" s="64"/>
      <c r="T140" s="64"/>
      <c r="U140" s="64"/>
      <c r="V140" s="64"/>
      <c r="W140" s="64"/>
      <c r="X140" s="64"/>
      <c r="Y140" s="64"/>
      <c r="Z140" s="64"/>
      <c r="AA140" s="64"/>
      <c r="AB140" s="64"/>
      <c r="AC140" s="64"/>
      <c r="AD140" s="64"/>
      <c r="AE140" s="64"/>
      <c r="AF140" s="64"/>
      <c r="AG140" s="64"/>
      <c r="AH140" s="64"/>
      <c r="AI140" s="64"/>
      <c r="AJ140" s="64"/>
      <c r="AK140" s="64"/>
      <c r="AL140" s="64"/>
      <c r="AM140" s="64"/>
      <c r="AN140" s="64"/>
    </row>
    <row r="141" spans="1:40" x14ac:dyDescent="0.35">
      <c r="A141" s="64"/>
      <c r="B141" s="64"/>
      <c r="C141" s="64"/>
      <c r="D141" s="64"/>
      <c r="E141" s="64"/>
      <c r="F141" s="64"/>
      <c r="G141" s="64"/>
      <c r="H141" s="64"/>
      <c r="I141" s="64"/>
      <c r="J141" s="64"/>
      <c r="K141" s="64"/>
      <c r="L141" s="64"/>
      <c r="M141" s="64"/>
      <c r="N141" s="64"/>
      <c r="O141" s="64"/>
      <c r="P141" s="64"/>
      <c r="Q141" s="64"/>
      <c r="R141" s="64"/>
      <c r="S141" s="64"/>
      <c r="T141" s="64"/>
      <c r="U141" s="64"/>
      <c r="V141" s="64"/>
      <c r="W141" s="64"/>
      <c r="X141" s="64"/>
      <c r="Y141" s="64"/>
      <c r="Z141" s="64"/>
      <c r="AA141" s="64"/>
      <c r="AB141" s="64"/>
      <c r="AC141" s="64"/>
      <c r="AD141" s="64"/>
      <c r="AE141" s="64"/>
      <c r="AF141" s="64"/>
      <c r="AG141" s="64"/>
      <c r="AH141" s="64"/>
      <c r="AI141" s="64"/>
      <c r="AJ141" s="64"/>
      <c r="AK141" s="64"/>
      <c r="AL141" s="64"/>
      <c r="AM141" s="64"/>
      <c r="AN141" s="64"/>
    </row>
    <row r="142" spans="1:40" x14ac:dyDescent="0.35">
      <c r="A142" s="64"/>
      <c r="B142" s="64"/>
      <c r="C142" s="64"/>
      <c r="D142" s="64"/>
      <c r="E142" s="64"/>
      <c r="F142" s="64"/>
      <c r="G142" s="64"/>
      <c r="H142" s="64"/>
      <c r="I142" s="64"/>
      <c r="J142" s="64"/>
      <c r="K142" s="64"/>
      <c r="L142" s="64"/>
      <c r="M142" s="64"/>
      <c r="N142" s="64"/>
      <c r="O142" s="64"/>
      <c r="P142" s="64"/>
      <c r="Q142" s="64"/>
      <c r="R142" s="64"/>
      <c r="S142" s="64"/>
      <c r="T142" s="64"/>
      <c r="U142" s="64"/>
      <c r="V142" s="64"/>
      <c r="W142" s="64"/>
      <c r="X142" s="64"/>
      <c r="Y142" s="64"/>
      <c r="Z142" s="64"/>
      <c r="AA142" s="64"/>
      <c r="AB142" s="64"/>
      <c r="AC142" s="64"/>
      <c r="AD142" s="64"/>
      <c r="AE142" s="64"/>
      <c r="AF142" s="64"/>
      <c r="AG142" s="64"/>
      <c r="AH142" s="64"/>
      <c r="AI142" s="64"/>
      <c r="AJ142" s="64"/>
      <c r="AK142" s="64"/>
      <c r="AL142" s="64"/>
      <c r="AM142" s="64"/>
      <c r="AN142" s="64"/>
    </row>
    <row r="143" spans="1:40" x14ac:dyDescent="0.35">
      <c r="A143" s="64"/>
      <c r="B143" s="64"/>
      <c r="C143" s="64"/>
      <c r="D143" s="64"/>
      <c r="E143" s="64"/>
      <c r="F143" s="64"/>
      <c r="G143" s="64"/>
      <c r="H143" s="64"/>
      <c r="I143" s="64"/>
      <c r="J143" s="64"/>
      <c r="K143" s="64"/>
      <c r="L143" s="64"/>
      <c r="M143" s="64"/>
      <c r="N143" s="64"/>
      <c r="O143" s="64"/>
      <c r="P143" s="64"/>
      <c r="Q143" s="64"/>
      <c r="R143" s="64"/>
      <c r="S143" s="64"/>
      <c r="T143" s="64"/>
      <c r="U143" s="64"/>
      <c r="V143" s="64"/>
      <c r="W143" s="64"/>
      <c r="X143" s="64"/>
      <c r="Y143" s="64"/>
      <c r="Z143" s="64"/>
      <c r="AA143" s="64"/>
      <c r="AB143" s="64"/>
      <c r="AC143" s="64"/>
      <c r="AD143" s="64"/>
      <c r="AE143" s="64"/>
      <c r="AF143" s="64"/>
      <c r="AG143" s="64"/>
      <c r="AH143" s="64"/>
      <c r="AI143" s="64"/>
      <c r="AJ143" s="64"/>
      <c r="AK143" s="64"/>
      <c r="AL143" s="64"/>
      <c r="AM143" s="64"/>
      <c r="AN143" s="64"/>
    </row>
    <row r="144" spans="1:40" x14ac:dyDescent="0.35">
      <c r="A144" s="64"/>
      <c r="B144" s="64"/>
      <c r="C144" s="64"/>
      <c r="D144" s="64"/>
      <c r="E144" s="64"/>
      <c r="F144" s="64"/>
      <c r="G144" s="64"/>
      <c r="H144" s="64"/>
      <c r="I144" s="64"/>
      <c r="J144" s="64"/>
      <c r="K144" s="64"/>
      <c r="L144" s="64"/>
      <c r="M144" s="64"/>
      <c r="N144" s="64"/>
      <c r="O144" s="64"/>
      <c r="P144" s="64"/>
      <c r="Q144" s="64"/>
      <c r="R144" s="64"/>
      <c r="S144" s="64"/>
      <c r="T144" s="64"/>
      <c r="U144" s="64"/>
      <c r="V144" s="64"/>
      <c r="W144" s="64"/>
      <c r="X144" s="64"/>
      <c r="Y144" s="64"/>
      <c r="Z144" s="64"/>
      <c r="AA144" s="64"/>
      <c r="AB144" s="64"/>
      <c r="AC144" s="64"/>
      <c r="AD144" s="64"/>
      <c r="AE144" s="64"/>
      <c r="AF144" s="64"/>
      <c r="AG144" s="64"/>
      <c r="AH144" s="64"/>
      <c r="AI144" s="64"/>
      <c r="AJ144" s="64"/>
      <c r="AK144" s="64"/>
      <c r="AL144" s="64"/>
      <c r="AM144" s="64"/>
      <c r="AN144" s="64"/>
    </row>
    <row r="145" spans="1:40" x14ac:dyDescent="0.35">
      <c r="A145" s="64"/>
      <c r="B145" s="64"/>
      <c r="C145" s="64"/>
      <c r="D145" s="64"/>
      <c r="E145" s="64"/>
      <c r="F145" s="64"/>
      <c r="G145" s="64"/>
      <c r="H145" s="64"/>
      <c r="I145" s="64"/>
      <c r="J145" s="64"/>
      <c r="K145" s="64"/>
      <c r="L145" s="64"/>
      <c r="M145" s="64"/>
      <c r="N145" s="64"/>
      <c r="O145" s="64"/>
      <c r="P145" s="64"/>
      <c r="Q145" s="64"/>
      <c r="R145" s="64"/>
      <c r="S145" s="64"/>
      <c r="T145" s="64"/>
      <c r="U145" s="64"/>
      <c r="V145" s="64"/>
      <c r="W145" s="64"/>
      <c r="X145" s="64"/>
      <c r="Y145" s="64"/>
      <c r="Z145" s="64"/>
      <c r="AA145" s="64"/>
      <c r="AB145" s="64"/>
      <c r="AC145" s="64"/>
      <c r="AD145" s="64"/>
      <c r="AE145" s="64"/>
      <c r="AF145" s="64"/>
      <c r="AG145" s="64"/>
      <c r="AH145" s="64"/>
      <c r="AI145" s="64"/>
      <c r="AJ145" s="64"/>
      <c r="AK145" s="64"/>
      <c r="AL145" s="64"/>
      <c r="AM145" s="64"/>
      <c r="AN145" s="64"/>
    </row>
    <row r="146" spans="1:40" x14ac:dyDescent="0.35">
      <c r="A146" s="64"/>
      <c r="B146" s="64"/>
      <c r="C146" s="64"/>
      <c r="D146" s="64"/>
      <c r="E146" s="64"/>
      <c r="F146" s="64"/>
      <c r="G146" s="64"/>
      <c r="H146" s="64"/>
      <c r="I146" s="64"/>
      <c r="J146" s="64"/>
      <c r="K146" s="64"/>
      <c r="L146" s="64"/>
      <c r="M146" s="64"/>
      <c r="N146" s="64"/>
      <c r="O146" s="64"/>
      <c r="P146" s="64"/>
      <c r="Q146" s="64"/>
      <c r="R146" s="64"/>
      <c r="S146" s="64"/>
      <c r="T146" s="64"/>
      <c r="U146" s="64"/>
      <c r="V146" s="64"/>
      <c r="W146" s="64"/>
      <c r="X146" s="64"/>
      <c r="Y146" s="64"/>
      <c r="Z146" s="64"/>
      <c r="AA146" s="64"/>
      <c r="AB146" s="64"/>
      <c r="AC146" s="64"/>
      <c r="AD146" s="64"/>
      <c r="AE146" s="64"/>
      <c r="AF146" s="64"/>
      <c r="AG146" s="64"/>
      <c r="AH146" s="64"/>
      <c r="AI146" s="64"/>
      <c r="AJ146" s="64"/>
      <c r="AK146" s="64"/>
      <c r="AL146" s="64"/>
      <c r="AM146" s="64"/>
      <c r="AN146" s="64"/>
    </row>
    <row r="147" spans="1:40" x14ac:dyDescent="0.35">
      <c r="A147" s="64"/>
      <c r="B147" s="64"/>
      <c r="C147" s="64"/>
      <c r="D147" s="64"/>
      <c r="E147" s="64"/>
      <c r="F147" s="64"/>
      <c r="G147" s="64"/>
      <c r="H147" s="64"/>
      <c r="I147" s="64"/>
      <c r="J147" s="64"/>
      <c r="K147" s="64"/>
      <c r="L147" s="64"/>
      <c r="M147" s="64"/>
      <c r="N147" s="64"/>
      <c r="O147" s="64"/>
      <c r="P147" s="64"/>
      <c r="Q147" s="64"/>
      <c r="R147" s="64"/>
      <c r="S147" s="64"/>
      <c r="T147" s="64"/>
      <c r="U147" s="64"/>
      <c r="V147" s="64"/>
      <c r="W147" s="64"/>
      <c r="X147" s="64"/>
      <c r="Y147" s="64"/>
      <c r="Z147" s="64"/>
      <c r="AA147" s="64"/>
      <c r="AB147" s="64"/>
      <c r="AC147" s="64"/>
      <c r="AD147" s="64"/>
      <c r="AE147" s="64"/>
      <c r="AF147" s="64"/>
      <c r="AG147" s="64"/>
      <c r="AH147" s="64"/>
      <c r="AI147" s="64"/>
      <c r="AJ147" s="64"/>
      <c r="AK147" s="64"/>
      <c r="AL147" s="64"/>
      <c r="AM147" s="64"/>
      <c r="AN147" s="64"/>
    </row>
    <row r="148" spans="1:40" x14ac:dyDescent="0.35">
      <c r="A148" s="64"/>
      <c r="B148" s="64"/>
      <c r="C148" s="64"/>
      <c r="D148" s="64"/>
      <c r="E148" s="64"/>
      <c r="F148" s="64"/>
      <c r="G148" s="64"/>
      <c r="H148" s="64"/>
      <c r="I148" s="64"/>
      <c r="J148" s="64"/>
      <c r="K148" s="64"/>
      <c r="L148" s="64"/>
      <c r="M148" s="64"/>
      <c r="N148" s="64"/>
      <c r="O148" s="64"/>
      <c r="P148" s="64"/>
      <c r="Q148" s="64"/>
      <c r="R148" s="64"/>
      <c r="S148" s="64"/>
      <c r="T148" s="64"/>
      <c r="U148" s="64"/>
      <c r="V148" s="64"/>
      <c r="W148" s="64"/>
      <c r="X148" s="64"/>
      <c r="Y148" s="64"/>
      <c r="Z148" s="64"/>
      <c r="AA148" s="64"/>
      <c r="AB148" s="64"/>
      <c r="AC148" s="64"/>
      <c r="AD148" s="64"/>
      <c r="AE148" s="64"/>
      <c r="AF148" s="64"/>
      <c r="AG148" s="64"/>
      <c r="AH148" s="64"/>
      <c r="AI148" s="64"/>
      <c r="AJ148" s="64"/>
      <c r="AK148" s="64"/>
      <c r="AL148" s="64"/>
      <c r="AM148" s="64"/>
      <c r="AN148" s="64"/>
    </row>
    <row r="149" spans="1:40" x14ac:dyDescent="0.35">
      <c r="A149" s="13"/>
      <c r="B149" s="13"/>
      <c r="C149" s="13"/>
      <c r="D149" s="13"/>
      <c r="E149" s="13"/>
      <c r="F149" s="13"/>
      <c r="G149" s="13"/>
      <c r="H149" s="64"/>
      <c r="I149" s="13"/>
      <c r="J149" s="64"/>
      <c r="K149" s="64"/>
      <c r="L149" s="64"/>
      <c r="M149" s="13"/>
      <c r="N149" s="64"/>
      <c r="O149" s="64"/>
      <c r="P149" s="64"/>
      <c r="Q149" s="64"/>
      <c r="R149" s="64"/>
      <c r="S149" s="64"/>
      <c r="T149" s="64"/>
      <c r="U149" s="64"/>
      <c r="V149" s="64"/>
      <c r="W149" s="64"/>
      <c r="X149" s="64"/>
      <c r="Y149" s="64"/>
      <c r="Z149" s="64"/>
      <c r="AA149" s="64"/>
      <c r="AB149" s="64"/>
      <c r="AC149" s="64"/>
      <c r="AD149" s="64"/>
      <c r="AE149" s="64"/>
      <c r="AF149" s="64"/>
      <c r="AG149" s="64"/>
      <c r="AH149" s="64"/>
      <c r="AI149" s="64"/>
      <c r="AJ149" s="64"/>
      <c r="AK149" s="64"/>
      <c r="AL149" s="64"/>
      <c r="AM149" s="64"/>
      <c r="AN149" s="64"/>
    </row>
    <row r="150" spans="1:40" x14ac:dyDescent="0.35">
      <c r="A150" s="1"/>
      <c r="B150" s="1"/>
      <c r="C150" s="1"/>
      <c r="D150" s="1"/>
      <c r="E150" s="1"/>
      <c r="F150" s="1"/>
      <c r="G150" s="1"/>
      <c r="H150" s="64"/>
      <c r="I150" s="13"/>
      <c r="J150" s="64"/>
      <c r="K150" s="64"/>
      <c r="L150" s="64"/>
      <c r="M150" s="1"/>
      <c r="N150" s="64"/>
      <c r="O150" s="64"/>
      <c r="P150" s="64"/>
      <c r="Q150" s="64"/>
      <c r="R150" s="64"/>
      <c r="S150" s="64"/>
      <c r="T150" s="64"/>
      <c r="U150" s="64"/>
      <c r="V150" s="64"/>
      <c r="W150" s="64"/>
      <c r="X150" s="64"/>
      <c r="Y150" s="64"/>
      <c r="Z150" s="64"/>
      <c r="AA150" s="64"/>
      <c r="AB150" s="64"/>
      <c r="AC150" s="64"/>
      <c r="AD150" s="64"/>
      <c r="AE150" s="64"/>
      <c r="AF150" s="64"/>
      <c r="AG150" s="64"/>
      <c r="AH150" s="64"/>
      <c r="AI150" s="64"/>
      <c r="AJ150" s="64"/>
      <c r="AK150" s="64"/>
      <c r="AL150" s="64"/>
      <c r="AM150" s="64"/>
      <c r="AN150" s="64"/>
    </row>
  </sheetData>
  <sheetProtection algorithmName="SHA-512" hashValue="RfcwgSPAPW67viDd8/JYywjBV5wu2ZIOjLVlT2yIU147vazBMnPctu46MkHYtZxeTPu9/dfddS8Rx4NaQ+tgpA==" saltValue="K4kmT58hgmCHjR36eDyBaA==" spinCount="100000" sheet="1" objects="1" scenarios="1"/>
  <protectedRanges>
    <protectedRange sqref="C13:C17 D16:D17" name="Range1"/>
  </protectedRanges>
  <mergeCells count="6">
    <mergeCell ref="B8:E8"/>
    <mergeCell ref="C3:E3"/>
    <mergeCell ref="B4:E4"/>
    <mergeCell ref="B5:E5"/>
    <mergeCell ref="B6:E6"/>
    <mergeCell ref="B7:E7"/>
  </mergeCell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A00-000001000000}">
          <x14:formula1>
            <xm:f>Assumptions!$T$3:$T$25</xm:f>
          </x14:formula1>
          <xm:sqref>C13</xm:sqref>
        </x14:dataValidation>
        <x14:dataValidation type="list" allowBlank="1" showInputMessage="1" showErrorMessage="1" xr:uid="{00000000-0002-0000-0A00-000000000000}">
          <x14:formula1>
            <xm:f>Assumptions!$U$3:$U$4</xm:f>
          </x14:formula1>
          <xm:sqref>D16 C17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>
    <tabColor theme="9"/>
  </sheetPr>
  <dimension ref="A1:AN49"/>
  <sheetViews>
    <sheetView zoomScaleNormal="100" zoomScalePageLayoutView="80" workbookViewId="0">
      <selection activeCell="C16" sqref="C16"/>
    </sheetView>
  </sheetViews>
  <sheetFormatPr defaultColWidth="8.7265625" defaultRowHeight="14.5" x14ac:dyDescent="0.35"/>
  <cols>
    <col min="1" max="1" width="3.453125" style="64" customWidth="1"/>
    <col min="2" max="2" width="74.7265625" style="64" customWidth="1"/>
    <col min="3" max="3" width="30.7265625" style="64" customWidth="1"/>
    <col min="4" max="4" width="16.453125" style="64" customWidth="1"/>
    <col min="5" max="5" width="14.7265625" style="64" customWidth="1"/>
    <col min="6" max="6" width="4.7265625" style="64" customWidth="1"/>
    <col min="7" max="7" width="6.26953125" style="64" hidden="1" customWidth="1"/>
    <col min="8" max="8" width="10.7265625" style="64" hidden="1" customWidth="1"/>
    <col min="9" max="9" width="12.26953125" style="64" hidden="1" customWidth="1"/>
    <col min="10" max="10" width="34.7265625" style="64" hidden="1" customWidth="1"/>
    <col min="11" max="11" width="6.453125" style="64" hidden="1" customWidth="1"/>
    <col min="12" max="12" width="14.453125" style="64" hidden="1" customWidth="1"/>
    <col min="13" max="13" width="16" style="64" hidden="1" customWidth="1"/>
    <col min="14" max="14" width="10.453125" style="64" customWidth="1"/>
    <col min="15" max="15" width="9.26953125" style="64" customWidth="1"/>
    <col min="16" max="16" width="11.26953125" style="64" customWidth="1"/>
    <col min="17" max="17" width="9.453125" style="64" customWidth="1"/>
    <col min="18" max="47" width="8.453125" style="64" customWidth="1"/>
    <col min="48" max="16384" width="8.7265625" style="64"/>
  </cols>
  <sheetData>
    <row r="1" spans="1:40" s="66" customFormat="1" ht="23.5" x14ac:dyDescent="0.35">
      <c r="A1" s="63" t="s">
        <v>247</v>
      </c>
      <c r="B1" s="64"/>
      <c r="C1" s="64"/>
      <c r="D1" s="64"/>
      <c r="E1" s="64"/>
      <c r="H1" s="64"/>
      <c r="I1" s="64"/>
    </row>
    <row r="2" spans="1:40" s="66" customFormat="1" ht="23.5" x14ac:dyDescent="0.35">
      <c r="A2" s="63"/>
      <c r="B2" s="64"/>
      <c r="C2" s="64"/>
      <c r="D2" s="64"/>
      <c r="E2" s="64"/>
      <c r="H2" s="64"/>
      <c r="I2" s="64"/>
    </row>
    <row r="3" spans="1:40" s="66" customFormat="1" ht="23.5" x14ac:dyDescent="0.35">
      <c r="A3" s="185"/>
      <c r="B3" s="61" t="s">
        <v>77</v>
      </c>
      <c r="C3" s="549"/>
      <c r="D3" s="549"/>
      <c r="E3" s="549"/>
      <c r="F3" s="184"/>
      <c r="H3" s="64"/>
      <c r="I3" s="64"/>
    </row>
    <row r="4" spans="1:40" customFormat="1" ht="23.5" x14ac:dyDescent="0.35">
      <c r="A4" s="186"/>
      <c r="B4" s="550" t="s">
        <v>78</v>
      </c>
      <c r="C4" s="550"/>
      <c r="D4" s="550"/>
      <c r="E4" s="550"/>
      <c r="F4" s="187"/>
      <c r="G4" s="66"/>
      <c r="H4" s="64"/>
      <c r="I4" s="64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66"/>
      <c r="AI4" s="66"/>
      <c r="AJ4" s="66"/>
      <c r="AK4" s="66"/>
      <c r="AL4" s="66"/>
      <c r="AM4" s="66"/>
      <c r="AN4" s="66"/>
    </row>
    <row r="5" spans="1:40" customFormat="1" ht="23.65" customHeight="1" x14ac:dyDescent="0.35">
      <c r="A5" s="186"/>
      <c r="B5" s="551" t="s">
        <v>79</v>
      </c>
      <c r="C5" s="551"/>
      <c r="D5" s="551"/>
      <c r="E5" s="551"/>
      <c r="F5" s="187"/>
      <c r="G5" s="66"/>
      <c r="H5" s="64"/>
      <c r="I5" s="64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66"/>
      <c r="W5" s="66"/>
      <c r="X5" s="66"/>
      <c r="Y5" s="66"/>
      <c r="Z5" s="66"/>
      <c r="AA5" s="66"/>
      <c r="AB5" s="66"/>
      <c r="AC5" s="66"/>
      <c r="AD5" s="66"/>
      <c r="AE5" s="66"/>
      <c r="AF5" s="66"/>
      <c r="AG5" s="66"/>
      <c r="AH5" s="66"/>
      <c r="AI5" s="66"/>
      <c r="AJ5" s="66"/>
      <c r="AK5" s="66"/>
      <c r="AL5" s="66"/>
      <c r="AM5" s="66"/>
      <c r="AN5" s="66"/>
    </row>
    <row r="6" spans="1:40" customFormat="1" ht="23.65" customHeight="1" x14ac:dyDescent="0.35">
      <c r="A6" s="186"/>
      <c r="B6" s="552" t="s">
        <v>80</v>
      </c>
      <c r="C6" s="552"/>
      <c r="D6" s="552"/>
      <c r="E6" s="552"/>
      <c r="F6" s="187"/>
      <c r="G6" s="66"/>
      <c r="H6" s="64"/>
      <c r="I6" s="64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  <c r="AA6" s="66"/>
      <c r="AB6" s="66"/>
      <c r="AC6" s="66"/>
      <c r="AD6" s="66"/>
      <c r="AE6" s="66"/>
      <c r="AF6" s="66"/>
      <c r="AG6" s="66"/>
      <c r="AH6" s="66"/>
      <c r="AI6" s="66"/>
      <c r="AJ6" s="66"/>
      <c r="AK6" s="66"/>
      <c r="AL6" s="66"/>
      <c r="AM6" s="66"/>
      <c r="AN6" s="66"/>
    </row>
    <row r="7" spans="1:40" customFormat="1" ht="23.65" customHeight="1" x14ac:dyDescent="0.35">
      <c r="A7" s="186"/>
      <c r="B7" s="553" t="s">
        <v>81</v>
      </c>
      <c r="C7" s="553"/>
      <c r="D7" s="553"/>
      <c r="E7" s="553"/>
      <c r="F7" s="187"/>
      <c r="G7" s="66"/>
      <c r="H7" s="64"/>
      <c r="I7" s="64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66"/>
      <c r="Y7" s="66"/>
      <c r="Z7" s="66"/>
      <c r="AA7" s="66"/>
      <c r="AB7" s="66"/>
      <c r="AC7" s="66"/>
      <c r="AD7" s="66"/>
      <c r="AE7" s="66"/>
      <c r="AF7" s="66"/>
      <c r="AG7" s="66"/>
      <c r="AH7" s="66"/>
      <c r="AI7" s="66"/>
      <c r="AJ7" s="66"/>
      <c r="AK7" s="66"/>
      <c r="AL7" s="66"/>
      <c r="AM7" s="66"/>
      <c r="AN7" s="66"/>
    </row>
    <row r="8" spans="1:40" customFormat="1" ht="23.5" x14ac:dyDescent="0.35">
      <c r="A8" s="186"/>
      <c r="B8" s="548" t="s">
        <v>82</v>
      </c>
      <c r="C8" s="548"/>
      <c r="D8" s="548"/>
      <c r="E8" s="548"/>
      <c r="F8" s="187"/>
      <c r="G8" s="66"/>
      <c r="H8" s="64"/>
      <c r="I8" s="64"/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  <c r="U8" s="66"/>
      <c r="V8" s="66"/>
      <c r="W8" s="66"/>
      <c r="X8" s="66"/>
      <c r="Y8" s="66"/>
      <c r="Z8" s="66"/>
      <c r="AA8" s="66"/>
      <c r="AB8" s="66"/>
      <c r="AC8" s="66"/>
      <c r="AD8" s="66"/>
      <c r="AE8" s="66"/>
      <c r="AF8" s="66"/>
      <c r="AG8" s="66"/>
      <c r="AH8" s="66"/>
      <c r="AI8" s="66"/>
      <c r="AJ8" s="66"/>
      <c r="AK8" s="66"/>
      <c r="AL8" s="66"/>
      <c r="AM8" s="66"/>
      <c r="AN8" s="66"/>
    </row>
    <row r="9" spans="1:40" s="66" customFormat="1" x14ac:dyDescent="0.35">
      <c r="A9" s="184"/>
      <c r="B9" s="184"/>
      <c r="C9" s="184"/>
      <c r="D9" s="184"/>
      <c r="E9" s="184"/>
      <c r="F9" s="184"/>
      <c r="H9" s="64"/>
      <c r="I9" s="64"/>
    </row>
    <row r="10" spans="1:40" s="66" customFormat="1" ht="23.5" x14ac:dyDescent="0.35">
      <c r="A10" s="63"/>
      <c r="B10" s="64"/>
      <c r="C10" s="64"/>
      <c r="D10" s="64"/>
      <c r="E10" s="64"/>
      <c r="H10" s="64"/>
      <c r="I10" s="64"/>
    </row>
    <row r="11" spans="1:40" ht="15.5" x14ac:dyDescent="0.35">
      <c r="A11" s="1"/>
      <c r="B11" s="61" t="s">
        <v>83</v>
      </c>
      <c r="C11" s="1"/>
      <c r="D11" s="1"/>
      <c r="E11" s="1"/>
      <c r="F11" s="1"/>
      <c r="G11" s="66"/>
      <c r="J11" s="66"/>
    </row>
    <row r="12" spans="1:40" ht="26.5" x14ac:dyDescent="0.35">
      <c r="A12" s="1"/>
      <c r="B12" s="102" t="s">
        <v>84</v>
      </c>
      <c r="C12" s="102" t="s">
        <v>85</v>
      </c>
      <c r="D12" s="106"/>
      <c r="E12" s="106"/>
      <c r="F12" s="1"/>
      <c r="G12" s="66"/>
      <c r="H12" s="256" t="s">
        <v>89</v>
      </c>
      <c r="I12" s="115" t="s">
        <v>90</v>
      </c>
      <c r="J12" s="66"/>
    </row>
    <row r="13" spans="1:40" x14ac:dyDescent="0.35">
      <c r="A13" s="1"/>
      <c r="B13" s="105" t="s">
        <v>248</v>
      </c>
      <c r="C13" s="336"/>
      <c r="D13" s="106"/>
      <c r="E13" s="106"/>
      <c r="F13" s="1"/>
      <c r="G13" s="66"/>
      <c r="H13" s="398">
        <f>C13</f>
        <v>0</v>
      </c>
      <c r="J13" s="66"/>
    </row>
    <row r="14" spans="1:40" x14ac:dyDescent="0.35">
      <c r="A14" s="1"/>
      <c r="B14" s="105" t="s">
        <v>249</v>
      </c>
      <c r="C14" s="337"/>
      <c r="D14" s="106"/>
      <c r="E14" s="106"/>
      <c r="F14" s="1"/>
      <c r="G14" s="66"/>
      <c r="H14" s="117">
        <f t="shared" ref="H14:H17" si="0">C14</f>
        <v>0</v>
      </c>
      <c r="J14" s="66"/>
    </row>
    <row r="15" spans="1:40" x14ac:dyDescent="0.35">
      <c r="A15" s="1"/>
      <c r="B15" s="105" t="s">
        <v>250</v>
      </c>
      <c r="C15" s="107"/>
      <c r="D15" s="106"/>
      <c r="E15" s="106"/>
      <c r="F15" s="1"/>
      <c r="G15" s="66"/>
      <c r="H15" s="117">
        <f t="shared" si="0"/>
        <v>0</v>
      </c>
      <c r="J15" s="66"/>
    </row>
    <row r="16" spans="1:40" x14ac:dyDescent="0.35">
      <c r="A16" s="1"/>
      <c r="B16" s="105" t="s">
        <v>251</v>
      </c>
      <c r="C16" s="107"/>
      <c r="D16" s="106"/>
      <c r="E16" s="106"/>
      <c r="F16" s="1"/>
      <c r="G16" s="66"/>
      <c r="H16" s="117">
        <f>C16</f>
        <v>0</v>
      </c>
      <c r="J16" s="66"/>
    </row>
    <row r="17" spans="1:17" x14ac:dyDescent="0.35">
      <c r="A17" s="1"/>
      <c r="B17" s="105" t="s">
        <v>252</v>
      </c>
      <c r="C17" s="260"/>
      <c r="D17" s="106"/>
      <c r="E17" s="106"/>
      <c r="F17" s="1"/>
      <c r="G17" s="66"/>
      <c r="H17" s="122">
        <f t="shared" si="0"/>
        <v>0</v>
      </c>
      <c r="J17" s="66"/>
    </row>
    <row r="18" spans="1:17" x14ac:dyDescent="0.35">
      <c r="A18" s="1"/>
      <c r="B18" s="1"/>
      <c r="C18" s="1"/>
      <c r="D18" s="1"/>
      <c r="E18" s="1"/>
      <c r="F18" s="1"/>
      <c r="G18" s="66"/>
      <c r="H18" s="258"/>
    </row>
    <row r="19" spans="1:17" x14ac:dyDescent="0.35">
      <c r="G19" s="66"/>
      <c r="H19" s="258"/>
    </row>
    <row r="20" spans="1:17" ht="15.5" x14ac:dyDescent="0.35">
      <c r="A20" s="1"/>
      <c r="B20" s="61" t="s">
        <v>96</v>
      </c>
      <c r="C20" s="1"/>
      <c r="D20" s="1"/>
      <c r="E20" s="1"/>
      <c r="F20" s="1"/>
      <c r="H20" s="258"/>
    </row>
    <row r="21" spans="1:17" ht="15.5" x14ac:dyDescent="0.35">
      <c r="A21" s="1"/>
      <c r="B21" s="61"/>
      <c r="C21" s="1"/>
      <c r="D21" s="1"/>
      <c r="E21" s="1"/>
      <c r="F21" s="1"/>
      <c r="H21" s="258"/>
    </row>
    <row r="22" spans="1:17" x14ac:dyDescent="0.35">
      <c r="A22" s="1"/>
      <c r="B22" s="102" t="s">
        <v>84</v>
      </c>
      <c r="C22" s="102" t="s">
        <v>85</v>
      </c>
      <c r="D22" s="1"/>
      <c r="E22" s="1"/>
      <c r="F22" s="1"/>
      <c r="H22" s="169"/>
    </row>
    <row r="23" spans="1:17" x14ac:dyDescent="0.35">
      <c r="A23" s="1"/>
      <c r="B23" s="105" t="s">
        <v>253</v>
      </c>
      <c r="C23" s="154">
        <f>Assumptions!$D$4</f>
        <v>250</v>
      </c>
      <c r="D23" s="1"/>
      <c r="E23" s="1"/>
      <c r="F23" s="1"/>
      <c r="G23" s="259"/>
      <c r="H23" s="125">
        <f>C23</f>
        <v>250</v>
      </c>
    </row>
    <row r="24" spans="1:17" x14ac:dyDescent="0.35">
      <c r="A24" s="1"/>
      <c r="B24" s="105" t="s">
        <v>254</v>
      </c>
      <c r="C24" s="338">
        <f>H14*H17/H23</f>
        <v>0</v>
      </c>
      <c r="D24" s="1"/>
      <c r="E24" s="1"/>
      <c r="F24" s="1"/>
      <c r="H24" s="125">
        <f>C24</f>
        <v>0</v>
      </c>
    </row>
    <row r="25" spans="1:17" x14ac:dyDescent="0.35">
      <c r="A25" s="1"/>
      <c r="B25" s="1"/>
      <c r="C25" s="1"/>
      <c r="D25" s="1"/>
      <c r="E25" s="1"/>
      <c r="F25" s="1"/>
      <c r="H25" s="258"/>
    </row>
    <row r="26" spans="1:17" x14ac:dyDescent="0.35">
      <c r="H26" s="258"/>
    </row>
    <row r="27" spans="1:17" ht="15.5" x14ac:dyDescent="0.35">
      <c r="A27" s="1"/>
      <c r="B27" s="61" t="s">
        <v>99</v>
      </c>
      <c r="C27" s="1"/>
      <c r="D27" s="1"/>
      <c r="E27" s="1"/>
      <c r="F27" s="1"/>
      <c r="H27" s="258"/>
      <c r="J27" s="269"/>
      <c r="L27" s="391"/>
      <c r="M27" s="391"/>
    </row>
    <row r="28" spans="1:17" x14ac:dyDescent="0.35">
      <c r="A28" s="1"/>
      <c r="B28" s="102"/>
      <c r="C28" s="102"/>
      <c r="D28" s="102"/>
      <c r="E28" s="102"/>
      <c r="F28" s="1"/>
      <c r="H28" s="169"/>
      <c r="J28" s="56" t="s">
        <v>100</v>
      </c>
      <c r="K28" s="491" t="s">
        <v>151</v>
      </c>
      <c r="L28" s="492">
        <f>$H$15</f>
        <v>0</v>
      </c>
      <c r="M28" s="160">
        <f>$H$16</f>
        <v>0</v>
      </c>
      <c r="N28" s="392"/>
      <c r="O28" s="392"/>
      <c r="P28" s="392"/>
      <c r="Q28" s="392"/>
    </row>
    <row r="29" spans="1:17" x14ac:dyDescent="0.35">
      <c r="A29" s="1"/>
      <c r="B29" s="102" t="s">
        <v>84</v>
      </c>
      <c r="C29" s="102" t="s">
        <v>85</v>
      </c>
      <c r="D29" s="1"/>
      <c r="E29" s="1"/>
      <c r="F29" s="1"/>
      <c r="H29" s="169"/>
      <c r="J29" s="85" t="str">
        <f>CONCATENATE($H$13," - ","CO2eq")</f>
        <v>0 - CO2eq</v>
      </c>
      <c r="K29" s="443" t="s">
        <v>107</v>
      </c>
      <c r="L29" s="493" t="e">
        <f>HLOOKUP($J29,'Emission Factors'!$C$259:$HD$310,MATCH(L$28,'Emission Factors'!$B$259:$B$310,0),0)</f>
        <v>#N/A</v>
      </c>
      <c r="M29" s="161" t="e">
        <f>HLOOKUP($J29,'Emission Factors'!$C$259:$HD$310,MATCH(M$28,'Emission Factors'!$B$259:$B$310,0),0)</f>
        <v>#N/A</v>
      </c>
      <c r="N29" s="391"/>
      <c r="O29" s="391"/>
      <c r="P29" s="391"/>
      <c r="Q29" s="391"/>
    </row>
    <row r="30" spans="1:17" x14ac:dyDescent="0.35">
      <c r="A30" s="1"/>
      <c r="B30" s="105" t="str">
        <f>"Existing "&amp;H13&amp;" CO2 emissions factor (g/mi)"</f>
        <v>Existing 0 CO2 emissions factor (g/mi)</v>
      </c>
      <c r="C30" s="108" t="e">
        <f>L29</f>
        <v>#N/A</v>
      </c>
      <c r="D30" s="1"/>
      <c r="E30" s="1"/>
      <c r="F30" s="1"/>
      <c r="H30" s="120" t="e">
        <f>C30</f>
        <v>#N/A</v>
      </c>
      <c r="J30" s="85" t="str">
        <f>CONCATENATE($H$13," - ","CO")</f>
        <v>0 - CO</v>
      </c>
      <c r="K30" s="443" t="s">
        <v>107</v>
      </c>
      <c r="L30" s="493" t="e">
        <f>HLOOKUP($J30,'Emission Factors'!$C$259:$HD$310,MATCH(L$28,'Emission Factors'!$B$259:$B$310,0),0)</f>
        <v>#N/A</v>
      </c>
      <c r="M30" s="161" t="e">
        <f>HLOOKUP($J30,'Emission Factors'!$C$259:$HD$310,MATCH(M$28,'Emission Factors'!$B$259:$B$310,0),0)</f>
        <v>#N/A</v>
      </c>
      <c r="N30" s="391"/>
      <c r="O30" s="391"/>
      <c r="P30" s="391"/>
      <c r="Q30" s="391"/>
    </row>
    <row r="31" spans="1:17" x14ac:dyDescent="0.35">
      <c r="A31" s="1"/>
      <c r="B31" s="105" t="str">
        <f>"Existing "&amp;H13&amp;" CO emissions factor (g/mi)"</f>
        <v>Existing 0 CO emissions factor (g/mi)</v>
      </c>
      <c r="C31" s="108" t="e">
        <f t="shared" ref="C31:C34" si="1">L30</f>
        <v>#N/A</v>
      </c>
      <c r="D31" s="1"/>
      <c r="E31" s="1"/>
      <c r="F31" s="1"/>
      <c r="H31" s="120" t="e">
        <f t="shared" ref="H31:H38" si="2">C31</f>
        <v>#N/A</v>
      </c>
      <c r="J31" s="85" t="str">
        <f>CONCATENATE($H$13," - ","PM2.5")</f>
        <v>0 - PM2.5</v>
      </c>
      <c r="K31" s="443" t="s">
        <v>107</v>
      </c>
      <c r="L31" s="493" t="e">
        <f>HLOOKUP($J31,'Emission Factors'!$C$259:$HD$310,MATCH(L$28,'Emission Factors'!$B$259:$B$310,0),0)</f>
        <v>#N/A</v>
      </c>
      <c r="M31" s="161" t="e">
        <f>HLOOKUP($J31,'Emission Factors'!$C$259:$HD$310,MATCH(M$28,'Emission Factors'!$B$259:$B$310,0),0)</f>
        <v>#N/A</v>
      </c>
      <c r="N31" s="391"/>
      <c r="O31" s="391"/>
      <c r="P31" s="391"/>
      <c r="Q31" s="391"/>
    </row>
    <row r="32" spans="1:17" x14ac:dyDescent="0.35">
      <c r="A32" s="1"/>
      <c r="B32" s="105" t="str">
        <f>"Existing "&amp;H13&amp;" PM2.5 emissions factor (g/mi)"</f>
        <v>Existing 0 PM2.5 emissions factor (g/mi)</v>
      </c>
      <c r="C32" s="108" t="e">
        <f t="shared" si="1"/>
        <v>#N/A</v>
      </c>
      <c r="D32" s="1"/>
      <c r="E32" s="1"/>
      <c r="F32" s="1"/>
      <c r="H32" s="120" t="e">
        <f t="shared" si="2"/>
        <v>#N/A</v>
      </c>
      <c r="J32" s="85" t="str">
        <f>CONCATENATE($H$13," - ","NOx")</f>
        <v>0 - NOx</v>
      </c>
      <c r="K32" s="443" t="s">
        <v>107</v>
      </c>
      <c r="L32" s="493" t="e">
        <f>HLOOKUP($J32,'Emission Factors'!$C$259:$HD$310,MATCH(L$28,'Emission Factors'!$B$259:$B$310,0),0)</f>
        <v>#N/A</v>
      </c>
      <c r="M32" s="161" t="e">
        <f>HLOOKUP($J32,'Emission Factors'!$C$259:$HD$310,MATCH(M$28,'Emission Factors'!$B$259:$B$310,0),0)</f>
        <v>#N/A</v>
      </c>
      <c r="N32" s="391"/>
      <c r="O32" s="391"/>
      <c r="P32" s="391"/>
      <c r="Q32" s="391"/>
    </row>
    <row r="33" spans="1:17" x14ac:dyDescent="0.35">
      <c r="A33" s="1"/>
      <c r="B33" s="105" t="str">
        <f>"Existing "&amp;H13&amp;" NOx emissions factor (g/mi)"</f>
        <v>Existing 0 NOx emissions factor (g/mi)</v>
      </c>
      <c r="C33" s="108" t="e">
        <f t="shared" si="1"/>
        <v>#N/A</v>
      </c>
      <c r="D33" s="1"/>
      <c r="E33" s="1"/>
      <c r="F33" s="1"/>
      <c r="H33" s="120" t="e">
        <f t="shared" si="2"/>
        <v>#N/A</v>
      </c>
      <c r="J33" s="91" t="str">
        <f>CONCATENATE($H$13," - ","VOC")</f>
        <v>0 - VOC</v>
      </c>
      <c r="K33" s="445" t="s">
        <v>107</v>
      </c>
      <c r="L33" s="494" t="e">
        <f>HLOOKUP($J33,'Emission Factors'!$C$259:$HD$310,MATCH(L$28,'Emission Factors'!$B$259:$B$310,0),0)</f>
        <v>#N/A</v>
      </c>
      <c r="M33" s="162" t="e">
        <f>HLOOKUP($J33,'Emission Factors'!$C$259:$HD$310,MATCH(M$28,'Emission Factors'!$B$259:$B$310,0),0)</f>
        <v>#N/A</v>
      </c>
      <c r="N33" s="391"/>
      <c r="O33" s="391"/>
      <c r="P33" s="391"/>
      <c r="Q33" s="391"/>
    </row>
    <row r="34" spans="1:17" x14ac:dyDescent="0.35">
      <c r="A34" s="1"/>
      <c r="B34" s="105" t="str">
        <f>"Existing "&amp;H13&amp;" VOC emissions factor (g/mi)"</f>
        <v>Existing 0 VOC emissions factor (g/mi)</v>
      </c>
      <c r="C34" s="108" t="e">
        <f t="shared" si="1"/>
        <v>#N/A</v>
      </c>
      <c r="D34" s="1"/>
      <c r="E34" s="1"/>
      <c r="F34" s="1"/>
      <c r="H34" s="120" t="e">
        <f t="shared" si="2"/>
        <v>#N/A</v>
      </c>
    </row>
    <row r="35" spans="1:17" x14ac:dyDescent="0.35">
      <c r="A35" s="1"/>
      <c r="B35" s="105" t="str">
        <f>"Post-project "&amp;H13&amp;" CO2 emissions factor (g/mi)"</f>
        <v>Post-project 0 CO2 emissions factor (g/mi)</v>
      </c>
      <c r="C35" s="108" t="e">
        <f>M29</f>
        <v>#N/A</v>
      </c>
      <c r="D35" s="1"/>
      <c r="E35" s="1"/>
      <c r="F35" s="1"/>
      <c r="H35" s="120" t="e">
        <f t="shared" si="2"/>
        <v>#N/A</v>
      </c>
    </row>
    <row r="36" spans="1:17" x14ac:dyDescent="0.35">
      <c r="A36" s="1"/>
      <c r="B36" s="105" t="str">
        <f>"Post-project "&amp;H13&amp;" CO emissions factor (g/mi)"</f>
        <v>Post-project 0 CO emissions factor (g/mi)</v>
      </c>
      <c r="C36" s="108" t="e">
        <f t="shared" ref="C36:C38" si="3">M30</f>
        <v>#N/A</v>
      </c>
      <c r="D36" s="1"/>
      <c r="E36" s="1"/>
      <c r="F36" s="1"/>
      <c r="H36" s="120" t="e">
        <f t="shared" si="2"/>
        <v>#N/A</v>
      </c>
    </row>
    <row r="37" spans="1:17" x14ac:dyDescent="0.35">
      <c r="A37" s="1"/>
      <c r="B37" s="105" t="str">
        <f>"Post-project "&amp;H13&amp;" PM2.5 emissions factor (g/mi)"</f>
        <v>Post-project 0 PM2.5 emissions factor (g/mi)</v>
      </c>
      <c r="C37" s="108" t="e">
        <f t="shared" si="3"/>
        <v>#N/A</v>
      </c>
      <c r="D37" s="1"/>
      <c r="E37" s="1"/>
      <c r="F37" s="1"/>
      <c r="H37" s="120" t="e">
        <f t="shared" si="2"/>
        <v>#N/A</v>
      </c>
    </row>
    <row r="38" spans="1:17" x14ac:dyDescent="0.35">
      <c r="A38" s="1"/>
      <c r="B38" s="105" t="str">
        <f>"Post-project "&amp;H13&amp;" NOx emissions factor (g/mi)"</f>
        <v>Post-project 0 NOx emissions factor (g/mi)</v>
      </c>
      <c r="C38" s="108" t="e">
        <f t="shared" si="3"/>
        <v>#N/A</v>
      </c>
      <c r="D38" s="1"/>
      <c r="E38" s="1"/>
      <c r="F38" s="1"/>
      <c r="H38" s="120" t="e">
        <f t="shared" si="2"/>
        <v>#N/A</v>
      </c>
    </row>
    <row r="39" spans="1:17" x14ac:dyDescent="0.35">
      <c r="A39" s="1"/>
      <c r="B39" s="105" t="str">
        <f>"Post-project "&amp;H13&amp;" VOC emissions factor (g/mi)"</f>
        <v>Post-project 0 VOC emissions factor (g/mi)</v>
      </c>
      <c r="C39" s="108" t="e">
        <f>M33</f>
        <v>#N/A</v>
      </c>
      <c r="D39" s="1"/>
      <c r="E39" s="1"/>
      <c r="F39" s="1"/>
      <c r="H39" s="120" t="e">
        <f>C39</f>
        <v>#N/A</v>
      </c>
    </row>
    <row r="40" spans="1:17" x14ac:dyDescent="0.35">
      <c r="A40" s="1"/>
      <c r="B40" s="1"/>
      <c r="C40" s="1"/>
      <c r="D40" s="1"/>
      <c r="E40" s="1"/>
      <c r="F40" s="1"/>
      <c r="H40" s="257"/>
    </row>
    <row r="42" spans="1:17" ht="15.5" x14ac:dyDescent="0.35">
      <c r="A42" s="1"/>
      <c r="B42" s="61" t="s">
        <v>116</v>
      </c>
      <c r="C42" s="1"/>
      <c r="D42" s="1"/>
      <c r="E42" s="60"/>
      <c r="F42" s="60"/>
    </row>
    <row r="43" spans="1:17" x14ac:dyDescent="0.35">
      <c r="A43" s="60"/>
      <c r="B43" s="102" t="s">
        <v>84</v>
      </c>
      <c r="C43" s="102" t="s">
        <v>85</v>
      </c>
      <c r="D43" s="60"/>
      <c r="E43" s="60"/>
      <c r="F43" s="60"/>
      <c r="H43" s="115"/>
    </row>
    <row r="44" spans="1:17" x14ac:dyDescent="0.35">
      <c r="A44" s="1"/>
      <c r="B44" s="111" t="s">
        <v>65</v>
      </c>
      <c r="C44" s="131" t="e">
        <f>IF(SUM($I$13:$I$17)&gt;0,"[Error]",((($H$14*$H$17*H30)/$H$23)-($H$14*$H$17*H35)/$H$23)/1000)</f>
        <v>#N/A</v>
      </c>
      <c r="D44" s="1"/>
      <c r="E44" s="1"/>
      <c r="F44" s="1"/>
      <c r="H44" s="163" t="e">
        <f t="shared" ref="H44:H48" si="4">C44</f>
        <v>#N/A</v>
      </c>
    </row>
    <row r="45" spans="1:17" x14ac:dyDescent="0.35">
      <c r="A45" s="1"/>
      <c r="B45" s="111" t="s">
        <v>66</v>
      </c>
      <c r="C45" s="131" t="e">
        <f>IF(SUM($I$13:$I$17)&gt;0,"[Error]",(($H$14*$H$17*H31)-($H$14*$H$17*H36))/$H$23/1000)</f>
        <v>#N/A</v>
      </c>
      <c r="D45" s="302"/>
      <c r="E45" s="302"/>
      <c r="F45" s="1"/>
      <c r="H45" s="163" t="e">
        <f t="shared" si="4"/>
        <v>#N/A</v>
      </c>
    </row>
    <row r="46" spans="1:17" x14ac:dyDescent="0.35">
      <c r="A46" s="1"/>
      <c r="B46" s="111" t="s">
        <v>67</v>
      </c>
      <c r="C46" s="131" t="e">
        <f>IF(SUM($I$13:$I$17)&gt;0,"[Error]",(($H$14*$H$17*H32)-($H$14*$H$17*H37))/$H$23/1000)</f>
        <v>#N/A</v>
      </c>
      <c r="D46" s="1"/>
      <c r="E46" s="302"/>
      <c r="F46" s="1"/>
      <c r="H46" s="163" t="e">
        <f t="shared" si="4"/>
        <v>#N/A</v>
      </c>
    </row>
    <row r="47" spans="1:17" x14ac:dyDescent="0.35">
      <c r="A47" s="1"/>
      <c r="B47" s="111" t="s">
        <v>68</v>
      </c>
      <c r="C47" s="131" t="e">
        <f>IF(SUM($I$13:$I$17)&gt;0,"[Error]",(($H$14*$H$17*H33)-($H$14*$H$17*H38))/$H$23/1000)</f>
        <v>#N/A</v>
      </c>
      <c r="D47" s="1"/>
      <c r="E47" s="302"/>
      <c r="F47" s="1"/>
      <c r="H47" s="163" t="e">
        <f t="shared" si="4"/>
        <v>#N/A</v>
      </c>
    </row>
    <row r="48" spans="1:17" x14ac:dyDescent="0.35">
      <c r="A48" s="1"/>
      <c r="B48" s="111" t="s">
        <v>69</v>
      </c>
      <c r="C48" s="131" t="e">
        <f>IF(SUM($I$13:$I$17)&gt;0,"[Error]",(($H$14*$H$17*H34)-($H$14*$H$17*H39))/$H$23/1000)</f>
        <v>#N/A</v>
      </c>
      <c r="D48" s="1"/>
      <c r="E48" s="302"/>
      <c r="F48" s="1"/>
      <c r="H48" s="163" t="e">
        <f t="shared" si="4"/>
        <v>#N/A</v>
      </c>
    </row>
    <row r="49" spans="1:6" x14ac:dyDescent="0.35">
      <c r="A49" s="1"/>
      <c r="B49" s="1"/>
      <c r="C49" s="1"/>
      <c r="D49" s="1"/>
      <c r="E49" s="1"/>
      <c r="F49" s="1"/>
    </row>
  </sheetData>
  <sheetProtection algorithmName="SHA-512" hashValue="KT2qaEI34xweDC672lwpehALpoP9K2CgQx2CV36j1JAQcOIt4bq5PwqBIVkhQsyfwlvJLIFDQNpxLIy8+Yl/qw==" saltValue="3VwQKI9MSNPx8Uv3voq92Q==" spinCount="100000" sheet="1" objects="1" scenarios="1"/>
  <protectedRanges>
    <protectedRange sqref="C13:C17" name="Range1"/>
  </protectedRanges>
  <mergeCells count="6">
    <mergeCell ref="B8:E8"/>
    <mergeCell ref="C3:E3"/>
    <mergeCell ref="B4:E4"/>
    <mergeCell ref="B5:E5"/>
    <mergeCell ref="B6:E6"/>
    <mergeCell ref="B7:E7"/>
  </mergeCell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C00-000000000000}">
          <x14:formula1>
            <xm:f>Assumptions!$AB$3:$AB$34</xm:f>
          </x14:formula1>
          <xm:sqref>C13</xm:sqref>
        </x14:dataValidation>
        <x14:dataValidation type="list" allowBlank="1" showInputMessage="1" showErrorMessage="1" xr:uid="{00000000-0002-0000-0C00-000001000000}">
          <x14:formula1>
            <xm:f>Assumptions!$X$3:$X$40</xm:f>
          </x14:formula1>
          <xm:sqref>C15</xm:sqref>
        </x14:dataValidation>
        <x14:dataValidation type="list" allowBlank="1" showInputMessage="1" showErrorMessage="1" xr:uid="{0900BE37-28CD-421F-8CA6-BF45DC345CCF}">
          <x14:formula1>
            <xm:f>Assumptions!$X$37:$X$53</xm:f>
          </x14:formula1>
          <xm:sqref>C16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>
    <tabColor theme="9"/>
  </sheetPr>
  <dimension ref="A1:AU49"/>
  <sheetViews>
    <sheetView zoomScaleNormal="100" zoomScalePageLayoutView="80" workbookViewId="0">
      <selection activeCell="C14" sqref="C14"/>
    </sheetView>
  </sheetViews>
  <sheetFormatPr defaultColWidth="8.7265625" defaultRowHeight="14.5" x14ac:dyDescent="0.35"/>
  <cols>
    <col min="1" max="1" width="3.453125" style="64" customWidth="1"/>
    <col min="2" max="2" width="58.26953125" style="64" customWidth="1"/>
    <col min="3" max="3" width="34.26953125" style="64" customWidth="1"/>
    <col min="4" max="4" width="9.26953125" style="64" customWidth="1"/>
    <col min="5" max="5" width="8.453125" style="64" customWidth="1"/>
    <col min="6" max="6" width="4.7265625" style="64" customWidth="1"/>
    <col min="7" max="7" width="11.453125" style="64" hidden="1" customWidth="1"/>
    <col min="8" max="8" width="22.7265625" style="64" hidden="1" customWidth="1"/>
    <col min="9" max="9" width="16.453125" style="64" hidden="1" customWidth="1"/>
    <col min="10" max="10" width="32.26953125" style="64" hidden="1" customWidth="1"/>
    <col min="11" max="11" width="6.453125" style="64" hidden="1" customWidth="1"/>
    <col min="12" max="12" width="16" style="64" hidden="1" customWidth="1"/>
    <col min="13" max="13" width="4" style="64" hidden="1" customWidth="1"/>
    <col min="14" max="14" width="32" style="64" hidden="1" customWidth="1"/>
    <col min="15" max="15" width="7.7265625" style="64" hidden="1" customWidth="1"/>
    <col min="16" max="16" width="9.453125" style="64" hidden="1" customWidth="1"/>
    <col min="17" max="39" width="8.453125" style="64" customWidth="1"/>
    <col min="40" max="40" width="10" style="64" customWidth="1"/>
    <col min="41" max="46" width="8.453125" style="64" customWidth="1"/>
    <col min="47" max="16384" width="8.7265625" style="64"/>
  </cols>
  <sheetData>
    <row r="1" spans="1:47" s="66" customFormat="1" ht="32.25" customHeight="1" x14ac:dyDescent="0.35">
      <c r="A1" s="63" t="s">
        <v>255</v>
      </c>
      <c r="B1" s="64"/>
      <c r="C1" s="64"/>
      <c r="D1" s="64"/>
      <c r="E1" s="64"/>
      <c r="H1" s="64"/>
      <c r="I1" s="64"/>
    </row>
    <row r="2" spans="1:47" s="66" customFormat="1" ht="15.75" customHeight="1" x14ac:dyDescent="0.35">
      <c r="A2" s="63"/>
      <c r="B2" s="64"/>
      <c r="C2" s="64"/>
      <c r="D2" s="64"/>
      <c r="E2" s="64"/>
      <c r="H2" s="64"/>
      <c r="I2" s="64"/>
    </row>
    <row r="3" spans="1:47" s="66" customFormat="1" ht="18" customHeight="1" x14ac:dyDescent="0.35">
      <c r="A3" s="185"/>
      <c r="B3" s="61" t="s">
        <v>77</v>
      </c>
      <c r="C3" s="549"/>
      <c r="D3" s="549"/>
      <c r="E3" s="549"/>
      <c r="F3" s="184"/>
      <c r="H3" s="64"/>
      <c r="I3" s="64"/>
    </row>
    <row r="4" spans="1:47" customFormat="1" ht="23.5" x14ac:dyDescent="0.35">
      <c r="A4" s="186"/>
      <c r="B4" s="550" t="s">
        <v>78</v>
      </c>
      <c r="C4" s="550"/>
      <c r="D4" s="550"/>
      <c r="E4" s="550"/>
      <c r="F4" s="187"/>
      <c r="G4" s="66"/>
      <c r="H4" s="64"/>
      <c r="I4" s="64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66"/>
      <c r="AI4" s="66"/>
      <c r="AJ4" s="66"/>
      <c r="AK4" s="66"/>
      <c r="AL4" s="66"/>
      <c r="AM4" s="66"/>
      <c r="AN4" s="66"/>
      <c r="AO4" s="66"/>
      <c r="AP4" s="66"/>
      <c r="AQ4" s="66"/>
      <c r="AR4" s="66"/>
      <c r="AS4" s="66"/>
      <c r="AT4" s="66"/>
      <c r="AU4" s="66"/>
    </row>
    <row r="5" spans="1:47" customFormat="1" ht="30" customHeight="1" x14ac:dyDescent="0.35">
      <c r="A5" s="186"/>
      <c r="B5" s="551" t="s">
        <v>79</v>
      </c>
      <c r="C5" s="551"/>
      <c r="D5" s="551"/>
      <c r="E5" s="551"/>
      <c r="F5" s="187"/>
      <c r="G5" s="66"/>
      <c r="H5" s="64"/>
      <c r="I5" s="64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66"/>
      <c r="W5" s="66"/>
      <c r="X5" s="66"/>
      <c r="Y5" s="66"/>
      <c r="Z5" s="66"/>
      <c r="AA5" s="66"/>
      <c r="AB5" s="66"/>
      <c r="AC5" s="66"/>
      <c r="AD5" s="66"/>
      <c r="AE5" s="66"/>
      <c r="AF5" s="66"/>
      <c r="AG5" s="66"/>
      <c r="AH5" s="66"/>
      <c r="AI5" s="66"/>
      <c r="AJ5" s="66"/>
      <c r="AK5" s="66"/>
      <c r="AL5" s="66"/>
      <c r="AM5" s="66"/>
      <c r="AN5" s="66"/>
      <c r="AO5" s="66"/>
      <c r="AP5" s="66"/>
      <c r="AQ5" s="66"/>
      <c r="AR5" s="66"/>
      <c r="AS5" s="66"/>
      <c r="AT5" s="66"/>
      <c r="AU5" s="66"/>
    </row>
    <row r="6" spans="1:47" customFormat="1" ht="29.25" customHeight="1" x14ac:dyDescent="0.35">
      <c r="A6" s="186"/>
      <c r="B6" s="552" t="s">
        <v>80</v>
      </c>
      <c r="C6" s="552"/>
      <c r="D6" s="552"/>
      <c r="E6" s="552"/>
      <c r="F6" s="187"/>
      <c r="G6" s="66"/>
      <c r="H6" s="64"/>
      <c r="I6" s="64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  <c r="AA6" s="66"/>
      <c r="AB6" s="66"/>
      <c r="AC6" s="66"/>
      <c r="AD6" s="66"/>
      <c r="AE6" s="66"/>
      <c r="AF6" s="66"/>
      <c r="AG6" s="66"/>
      <c r="AH6" s="66"/>
      <c r="AI6" s="66"/>
      <c r="AJ6" s="66"/>
      <c r="AK6" s="66"/>
      <c r="AL6" s="66"/>
      <c r="AM6" s="66"/>
      <c r="AN6" s="66"/>
      <c r="AO6" s="66"/>
      <c r="AP6" s="66"/>
      <c r="AQ6" s="66"/>
      <c r="AR6" s="66"/>
      <c r="AS6" s="66"/>
      <c r="AT6" s="66"/>
      <c r="AU6" s="66"/>
    </row>
    <row r="7" spans="1:47" customFormat="1" ht="27" customHeight="1" x14ac:dyDescent="0.35">
      <c r="A7" s="186"/>
      <c r="B7" s="553" t="s">
        <v>81</v>
      </c>
      <c r="C7" s="553"/>
      <c r="D7" s="553"/>
      <c r="E7" s="553"/>
      <c r="F7" s="187"/>
      <c r="G7" s="66"/>
      <c r="H7" s="64"/>
      <c r="I7" s="64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66"/>
      <c r="Y7" s="66"/>
      <c r="Z7" s="66"/>
      <c r="AA7" s="66"/>
      <c r="AB7" s="66"/>
      <c r="AC7" s="66"/>
      <c r="AD7" s="66"/>
      <c r="AE7" s="66"/>
      <c r="AF7" s="66"/>
      <c r="AG7" s="66"/>
      <c r="AH7" s="66"/>
      <c r="AI7" s="66"/>
      <c r="AJ7" s="66"/>
      <c r="AK7" s="66"/>
      <c r="AL7" s="66"/>
      <c r="AM7" s="66"/>
      <c r="AN7" s="66"/>
      <c r="AO7" s="66"/>
      <c r="AP7" s="66"/>
      <c r="AQ7" s="66"/>
      <c r="AR7" s="66"/>
      <c r="AS7" s="66"/>
      <c r="AT7" s="66"/>
      <c r="AU7" s="66"/>
    </row>
    <row r="8" spans="1:47" customFormat="1" ht="23.5" x14ac:dyDescent="0.35">
      <c r="A8" s="186"/>
      <c r="B8" s="548" t="s">
        <v>82</v>
      </c>
      <c r="C8" s="548"/>
      <c r="D8" s="548"/>
      <c r="E8" s="548"/>
      <c r="F8" s="187"/>
      <c r="G8" s="66"/>
      <c r="H8" s="64"/>
      <c r="I8" s="64"/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  <c r="U8" s="66"/>
      <c r="V8" s="66"/>
      <c r="W8" s="66"/>
      <c r="X8" s="66"/>
      <c r="Y8" s="66"/>
      <c r="Z8" s="66"/>
      <c r="AA8" s="66"/>
      <c r="AB8" s="66"/>
      <c r="AC8" s="66"/>
      <c r="AD8" s="66"/>
      <c r="AE8" s="66"/>
      <c r="AF8" s="66"/>
      <c r="AG8" s="66"/>
      <c r="AH8" s="66"/>
      <c r="AI8" s="66"/>
      <c r="AJ8" s="66"/>
      <c r="AK8" s="66"/>
      <c r="AL8" s="66"/>
      <c r="AM8" s="66"/>
      <c r="AN8" s="66"/>
      <c r="AO8" s="66"/>
      <c r="AP8" s="66"/>
      <c r="AQ8" s="66"/>
      <c r="AR8" s="66"/>
      <c r="AS8" s="66"/>
      <c r="AT8" s="66"/>
      <c r="AU8" s="66"/>
    </row>
    <row r="9" spans="1:47" s="66" customFormat="1" ht="11.25" customHeight="1" x14ac:dyDescent="0.35">
      <c r="A9" s="186"/>
      <c r="B9" s="193"/>
      <c r="C9" s="193"/>
      <c r="D9" s="193"/>
      <c r="E9" s="193"/>
      <c r="F9" s="187"/>
      <c r="H9" s="64"/>
      <c r="I9" s="64"/>
      <c r="J9" s="64"/>
    </row>
    <row r="10" spans="1:47" s="66" customFormat="1" x14ac:dyDescent="0.35">
      <c r="H10" s="64"/>
      <c r="I10" s="64"/>
      <c r="J10" s="64"/>
      <c r="K10" s="64"/>
    </row>
    <row r="11" spans="1:47" ht="15" customHeight="1" x14ac:dyDescent="0.35">
      <c r="A11" s="1"/>
      <c r="B11" s="61" t="s">
        <v>83</v>
      </c>
      <c r="C11" s="1"/>
      <c r="D11" s="1"/>
      <c r="E11" s="1"/>
      <c r="F11" s="1"/>
    </row>
    <row r="12" spans="1:47" ht="27" customHeight="1" x14ac:dyDescent="0.35">
      <c r="A12" s="1"/>
      <c r="B12" s="102" t="s">
        <v>84</v>
      </c>
      <c r="C12" s="102" t="s">
        <v>85</v>
      </c>
      <c r="D12" s="102"/>
      <c r="E12" s="102"/>
      <c r="F12" s="1"/>
      <c r="G12" s="115" t="s">
        <v>88</v>
      </c>
      <c r="H12" s="115" t="s">
        <v>89</v>
      </c>
      <c r="I12" s="115" t="s">
        <v>90</v>
      </c>
    </row>
    <row r="13" spans="1:47" ht="30" customHeight="1" x14ac:dyDescent="0.35">
      <c r="A13" s="1"/>
      <c r="B13" s="105" t="s">
        <v>256</v>
      </c>
      <c r="C13" s="107"/>
      <c r="D13" s="106"/>
      <c r="E13" s="106"/>
      <c r="F13" s="1"/>
      <c r="H13" s="270">
        <f t="shared" ref="H13:H18" si="0">C13</f>
        <v>0</v>
      </c>
    </row>
    <row r="14" spans="1:47" ht="14.25" customHeight="1" x14ac:dyDescent="0.35">
      <c r="A14" s="1"/>
      <c r="B14" s="105" t="s">
        <v>257</v>
      </c>
      <c r="C14" s="107"/>
      <c r="D14" s="106"/>
      <c r="E14" s="106"/>
      <c r="F14" s="1"/>
      <c r="H14" s="117">
        <f t="shared" si="0"/>
        <v>0</v>
      </c>
      <c r="J14" s="66"/>
    </row>
    <row r="15" spans="1:47" ht="14.25" customHeight="1" x14ac:dyDescent="0.35">
      <c r="A15" s="1"/>
      <c r="B15" s="105" t="s">
        <v>258</v>
      </c>
      <c r="C15" s="107"/>
      <c r="D15" s="106"/>
      <c r="E15" s="106"/>
      <c r="F15" s="1"/>
      <c r="H15" s="122">
        <f t="shared" si="0"/>
        <v>0</v>
      </c>
    </row>
    <row r="16" spans="1:47" ht="14.25" customHeight="1" x14ac:dyDescent="0.35">
      <c r="A16" s="1"/>
      <c r="B16" s="105" t="s">
        <v>259</v>
      </c>
      <c r="C16" s="107"/>
      <c r="D16" s="106"/>
      <c r="E16" s="106"/>
      <c r="F16" s="1"/>
      <c r="H16" s="117">
        <f t="shared" si="0"/>
        <v>0</v>
      </c>
      <c r="J16" s="66"/>
    </row>
    <row r="17" spans="1:16" ht="14.25" customHeight="1" x14ac:dyDescent="0.35">
      <c r="A17" s="1"/>
      <c r="B17" s="105" t="s">
        <v>260</v>
      </c>
      <c r="C17" s="114"/>
      <c r="D17" s="106"/>
      <c r="E17" s="106"/>
      <c r="F17" s="1"/>
      <c r="H17" s="122">
        <f t="shared" si="0"/>
        <v>0</v>
      </c>
      <c r="J17" s="66"/>
    </row>
    <row r="18" spans="1:16" ht="14.25" customHeight="1" x14ac:dyDescent="0.35">
      <c r="A18" s="1"/>
      <c r="B18" s="105" t="s">
        <v>261</v>
      </c>
      <c r="C18" s="114"/>
      <c r="D18" s="106"/>
      <c r="E18" s="106"/>
      <c r="F18" s="1"/>
      <c r="H18" s="122">
        <f t="shared" si="0"/>
        <v>0</v>
      </c>
      <c r="J18" s="66"/>
    </row>
    <row r="19" spans="1:16" ht="15.75" customHeight="1" x14ac:dyDescent="0.35">
      <c r="A19" s="1"/>
      <c r="B19" s="1"/>
      <c r="C19" s="1"/>
      <c r="D19" s="1"/>
      <c r="E19" s="1"/>
      <c r="F19" s="1"/>
    </row>
    <row r="21" spans="1:16" ht="15.5" x14ac:dyDescent="0.35">
      <c r="A21" s="1"/>
      <c r="B21" s="61" t="s">
        <v>96</v>
      </c>
      <c r="C21" s="1"/>
      <c r="D21" s="1"/>
      <c r="E21" s="1"/>
      <c r="F21" s="1"/>
    </row>
    <row r="22" spans="1:16" ht="15.5" x14ac:dyDescent="0.35">
      <c r="A22" s="1"/>
      <c r="B22" s="61"/>
      <c r="C22" s="1"/>
      <c r="D22" s="1"/>
      <c r="E22" s="1"/>
      <c r="F22" s="1"/>
    </row>
    <row r="23" spans="1:16" x14ac:dyDescent="0.35">
      <c r="A23" s="1"/>
      <c r="B23" s="102" t="s">
        <v>84</v>
      </c>
      <c r="C23" s="102" t="s">
        <v>85</v>
      </c>
      <c r="D23" s="1"/>
      <c r="E23" s="1"/>
      <c r="F23" s="1"/>
      <c r="H23" s="115"/>
    </row>
    <row r="24" spans="1:16" x14ac:dyDescent="0.35">
      <c r="A24" s="1"/>
      <c r="B24" s="105" t="s">
        <v>253</v>
      </c>
      <c r="C24" s="154">
        <f>G24</f>
        <v>250</v>
      </c>
      <c r="D24" s="1"/>
      <c r="E24" s="1"/>
      <c r="F24" s="1"/>
      <c r="G24" s="259">
        <f>Assumptions!$D$4</f>
        <v>250</v>
      </c>
      <c r="H24" s="126">
        <f>C24</f>
        <v>250</v>
      </c>
    </row>
    <row r="25" spans="1:16" ht="15.75" customHeight="1" x14ac:dyDescent="0.35">
      <c r="A25" s="1"/>
      <c r="B25" s="1"/>
      <c r="C25" s="1"/>
      <c r="D25" s="1"/>
      <c r="E25" s="1"/>
      <c r="F25" s="1"/>
    </row>
    <row r="26" spans="1:16" ht="15.75" customHeight="1" x14ac:dyDescent="0.35"/>
    <row r="27" spans="1:16" ht="15.75" customHeight="1" x14ac:dyDescent="0.35">
      <c r="A27" s="1"/>
      <c r="B27" s="61" t="s">
        <v>99</v>
      </c>
      <c r="C27" s="1"/>
      <c r="D27" s="1"/>
      <c r="E27" s="1"/>
      <c r="F27" s="1"/>
      <c r="J27" s="269"/>
    </row>
    <row r="28" spans="1:16" ht="15.75" customHeight="1" x14ac:dyDescent="0.35">
      <c r="A28" s="1"/>
      <c r="B28" s="102"/>
      <c r="C28" s="102"/>
      <c r="D28" s="102"/>
      <c r="E28" s="102"/>
      <c r="F28" s="1"/>
      <c r="J28" s="56" t="s">
        <v>262</v>
      </c>
      <c r="K28" s="57" t="s">
        <v>151</v>
      </c>
      <c r="L28" s="160">
        <f>$H$14</f>
        <v>0</v>
      </c>
      <c r="N28" s="56" t="s">
        <v>263</v>
      </c>
      <c r="O28" s="57" t="s">
        <v>151</v>
      </c>
      <c r="P28" s="160">
        <f>$H$16</f>
        <v>0</v>
      </c>
    </row>
    <row r="29" spans="1:16" ht="15.75" customHeight="1" x14ac:dyDescent="0.35">
      <c r="A29" s="1"/>
      <c r="B29" s="102" t="s">
        <v>84</v>
      </c>
      <c r="C29" s="102" t="s">
        <v>85</v>
      </c>
      <c r="D29" s="1"/>
      <c r="E29" s="1"/>
      <c r="F29" s="1"/>
      <c r="J29" s="159" t="str">
        <f>CONCATENATE($H$13," - ","CO2eq")</f>
        <v>0 - CO2eq</v>
      </c>
      <c r="K29" s="495" t="s">
        <v>107</v>
      </c>
      <c r="L29" s="496" t="e">
        <f>HLOOKUP($J29,'Emission Factors'!$C$259:$HD$310,MATCH(L$28,'Emission Factors'!$B$259:$B$310,0),0)</f>
        <v>#N/A</v>
      </c>
      <c r="N29" s="159" t="str">
        <f>IF($H$15="Other alt fuel vehicle","",$H$15&amp;" - CO2eq")</f>
        <v>0 - CO2eq</v>
      </c>
      <c r="O29" s="495" t="s">
        <v>107</v>
      </c>
      <c r="P29" s="496" t="e">
        <f>HLOOKUP($N29,'Emission Factors'!$C$259:$HD$310,MATCH(P$28,'Emission Factors'!$B$259:$B$310,0),0)</f>
        <v>#N/A</v>
      </c>
    </row>
    <row r="30" spans="1:16" ht="15.75" customHeight="1" x14ac:dyDescent="0.35">
      <c r="A30" s="1"/>
      <c r="B30" s="255" t="str">
        <f>TEXT($H$14,"0")&amp;" "&amp;$H$13&amp;" CO2 emissions factor (g/mi)"</f>
        <v>0 0 CO2 emissions factor (g/mi)</v>
      </c>
      <c r="C30" s="108" t="e">
        <f>L29</f>
        <v>#N/A</v>
      </c>
      <c r="D30" s="1"/>
      <c r="E30" s="1"/>
      <c r="F30" s="1"/>
      <c r="H30" s="296" t="e">
        <f>C30</f>
        <v>#N/A</v>
      </c>
      <c r="J30" s="85" t="str">
        <f>CONCATENATE($H$13," - ","CO")</f>
        <v>0 - CO</v>
      </c>
      <c r="K30" s="443" t="s">
        <v>107</v>
      </c>
      <c r="L30" s="493" t="e">
        <f>HLOOKUP($J30,'Emission Factors'!$C$259:$HD$310,MATCH(L$28,'Emission Factors'!$B$259:$B$310,0),0)</f>
        <v>#N/A</v>
      </c>
      <c r="N30" s="85" t="str">
        <f>IF($H$15="Other alt fuel vehicle","",$H$15&amp;" - CO")</f>
        <v>0 - CO</v>
      </c>
      <c r="O30" s="443" t="s">
        <v>107</v>
      </c>
      <c r="P30" s="493" t="e">
        <f>HLOOKUP($N30,'Emission Factors'!$C$259:$HD$310,MATCH(P$28,'Emission Factors'!$B$259:$B$310,0),0)</f>
        <v>#N/A</v>
      </c>
    </row>
    <row r="31" spans="1:16" ht="15.75" customHeight="1" x14ac:dyDescent="0.35">
      <c r="A31" s="1"/>
      <c r="B31" s="255" t="str">
        <f>TEXT($H$14,"0")&amp;" "&amp;$H$13&amp;" CO emissions factor (g/mi)"</f>
        <v>0 0 CO emissions factor (g/mi)</v>
      </c>
      <c r="C31" s="108" t="e">
        <f>L30</f>
        <v>#N/A</v>
      </c>
      <c r="D31" s="1"/>
      <c r="E31" s="1"/>
      <c r="F31" s="1"/>
      <c r="H31" s="296" t="e">
        <f t="shared" ref="H31:H39" si="1">C31</f>
        <v>#N/A</v>
      </c>
      <c r="J31" s="85" t="str">
        <f>CONCATENATE($H$13," - ","PM2.5")</f>
        <v>0 - PM2.5</v>
      </c>
      <c r="K31" s="443" t="s">
        <v>107</v>
      </c>
      <c r="L31" s="493" t="e">
        <f>HLOOKUP($J31,'Emission Factors'!$C$259:$HD$310,MATCH(L$28,'Emission Factors'!$B$259:$B$310,0),0)</f>
        <v>#N/A</v>
      </c>
      <c r="N31" s="85" t="str">
        <f>IF($H$15="Other alt fuel vehicle","",$H$15&amp;" - PM2.5")</f>
        <v>0 - PM2.5</v>
      </c>
      <c r="O31" s="443" t="s">
        <v>107</v>
      </c>
      <c r="P31" s="493" t="e">
        <f>HLOOKUP($N31,'Emission Factors'!$C$259:$HD$310,MATCH(P$28,'Emission Factors'!$B$259:$B$310,0),0)</f>
        <v>#N/A</v>
      </c>
    </row>
    <row r="32" spans="1:16" ht="15.75" customHeight="1" x14ac:dyDescent="0.35">
      <c r="A32" s="1"/>
      <c r="B32" s="255" t="str">
        <f>TEXT($H$14,"0")&amp;" "&amp;$H$13&amp;" PM2.5 emissions factor (g/mi)"</f>
        <v>0 0 PM2.5 emissions factor (g/mi)</v>
      </c>
      <c r="C32" s="108" t="e">
        <f>L31</f>
        <v>#N/A</v>
      </c>
      <c r="D32" s="1"/>
      <c r="E32" s="1"/>
      <c r="F32" s="1"/>
      <c r="H32" s="296" t="e">
        <f t="shared" si="1"/>
        <v>#N/A</v>
      </c>
      <c r="J32" s="85" t="str">
        <f>CONCATENATE($H$13," - ","NOX")</f>
        <v>0 - NOX</v>
      </c>
      <c r="K32" s="443" t="s">
        <v>107</v>
      </c>
      <c r="L32" s="493" t="e">
        <f>HLOOKUP($J32,'Emission Factors'!$C$259:$HD$310,MATCH(L$28,'Emission Factors'!$B$259:$B$310,0),0)</f>
        <v>#N/A</v>
      </c>
      <c r="N32" s="85" t="str">
        <f>IF($H$15="Other alt fuel vehicle","",$H$15&amp;" - NOX")</f>
        <v>0 - NOX</v>
      </c>
      <c r="O32" s="443" t="s">
        <v>107</v>
      </c>
      <c r="P32" s="493" t="e">
        <f>HLOOKUP($N32,'Emission Factors'!$C$259:$HD$310,MATCH(P$28,'Emission Factors'!$B$259:$B$310,0),0)</f>
        <v>#N/A</v>
      </c>
    </row>
    <row r="33" spans="1:16" ht="15.75" customHeight="1" x14ac:dyDescent="0.35">
      <c r="A33" s="1"/>
      <c r="B33" s="255" t="str">
        <f>TEXT($H$14,"0")&amp;" "&amp;$H$13&amp;" NOX emissions factor (g/mi)"</f>
        <v>0 0 NOX emissions factor (g/mi)</v>
      </c>
      <c r="C33" s="108" t="e">
        <f>L32</f>
        <v>#N/A</v>
      </c>
      <c r="D33" s="1"/>
      <c r="E33" s="1"/>
      <c r="F33" s="1"/>
      <c r="H33" s="296" t="e">
        <f>C33</f>
        <v>#N/A</v>
      </c>
      <c r="J33" s="91" t="str">
        <f>CONCATENATE($H$13," - ","VOC")</f>
        <v>0 - VOC</v>
      </c>
      <c r="K33" s="445" t="s">
        <v>107</v>
      </c>
      <c r="L33" s="494" t="e">
        <f>HLOOKUP($J33,'Emission Factors'!$C$259:$HD$310,MATCH(L$28,'Emission Factors'!$B$259:$B$310,0),0)</f>
        <v>#N/A</v>
      </c>
      <c r="N33" s="91" t="str">
        <f>IF($H$15="Other alt fuel vehicle","",$H$15&amp;" - VOC")</f>
        <v>0 - VOC</v>
      </c>
      <c r="O33" s="445" t="s">
        <v>107</v>
      </c>
      <c r="P33" s="494" t="e">
        <f>HLOOKUP($N33,'Emission Factors'!$C$259:$HD$310,MATCH(P$28,'Emission Factors'!$B$259:$B$310,0),0)</f>
        <v>#N/A</v>
      </c>
    </row>
    <row r="34" spans="1:16" ht="15.75" customHeight="1" x14ac:dyDescent="0.35">
      <c r="A34" s="1"/>
      <c r="B34" s="255" t="str">
        <f>TEXT($H$14,"0")&amp;" "&amp;$H$13&amp;" VOC emissions factor (g/mi)"</f>
        <v>0 0 VOC emissions factor (g/mi)</v>
      </c>
      <c r="C34" s="108" t="e">
        <f>L33</f>
        <v>#N/A</v>
      </c>
      <c r="D34" s="1"/>
      <c r="E34" s="1"/>
      <c r="F34" s="1"/>
      <c r="H34" s="296" t="e">
        <f t="shared" si="1"/>
        <v>#N/A</v>
      </c>
    </row>
    <row r="35" spans="1:16" ht="15.75" customHeight="1" x14ac:dyDescent="0.35">
      <c r="A35" s="1"/>
      <c r="B35" s="255" t="str">
        <f>TEXT($H$16,"0")&amp;" "&amp;$H$15&amp;" CO2 emissions factor (g/mi)"</f>
        <v>0 0 CO2 emissions factor (g/mi)</v>
      </c>
      <c r="C35" s="108" t="e">
        <f>P29</f>
        <v>#N/A</v>
      </c>
      <c r="D35" s="1"/>
      <c r="E35" s="1"/>
      <c r="F35" s="1"/>
      <c r="H35" s="296" t="e">
        <f t="shared" si="1"/>
        <v>#N/A</v>
      </c>
    </row>
    <row r="36" spans="1:16" ht="15.75" customHeight="1" x14ac:dyDescent="0.35">
      <c r="A36" s="1"/>
      <c r="B36" s="255" t="str">
        <f>TEXT($H$16,"0")&amp;" "&amp;$H$15&amp;" CO emissions factor (g/mi)"</f>
        <v>0 0 CO emissions factor (g/mi)</v>
      </c>
      <c r="C36" s="108" t="e">
        <f t="shared" ref="C36:C39" si="2">P30</f>
        <v>#N/A</v>
      </c>
      <c r="D36" s="1"/>
      <c r="E36" s="1"/>
      <c r="F36" s="1"/>
      <c r="H36" s="296" t="e">
        <f t="shared" si="1"/>
        <v>#N/A</v>
      </c>
    </row>
    <row r="37" spans="1:16" ht="15.75" customHeight="1" x14ac:dyDescent="0.35">
      <c r="A37" s="1"/>
      <c r="B37" s="255" t="str">
        <f>TEXT($H$16,"0")&amp;" "&amp;$H$15&amp;" PM2.5 emissions factor (g/mi)"</f>
        <v>0 0 PM2.5 emissions factor (g/mi)</v>
      </c>
      <c r="C37" s="108" t="e">
        <f t="shared" si="2"/>
        <v>#N/A</v>
      </c>
      <c r="D37" s="1"/>
      <c r="E37" s="1"/>
      <c r="F37" s="1"/>
      <c r="H37" s="296" t="e">
        <f t="shared" si="1"/>
        <v>#N/A</v>
      </c>
    </row>
    <row r="38" spans="1:16" ht="15.75" customHeight="1" x14ac:dyDescent="0.35">
      <c r="A38" s="1"/>
      <c r="B38" s="255" t="str">
        <f>TEXT($H$16,"0")&amp;" "&amp;$H$15&amp;" NOX emissions factor (g/mi)"</f>
        <v>0 0 NOX emissions factor (g/mi)</v>
      </c>
      <c r="C38" s="108" t="e">
        <f t="shared" si="2"/>
        <v>#N/A</v>
      </c>
      <c r="D38" s="1"/>
      <c r="E38" s="1"/>
      <c r="F38" s="1"/>
      <c r="H38" s="296" t="e">
        <f t="shared" si="1"/>
        <v>#N/A</v>
      </c>
    </row>
    <row r="39" spans="1:16" ht="15.75" customHeight="1" x14ac:dyDescent="0.35">
      <c r="A39" s="1"/>
      <c r="B39" s="255" t="str">
        <f>TEXT($H$16,"0")&amp;" "&amp;$H$15&amp;" VOC emissions factor (g/mi)"</f>
        <v>0 0 VOC emissions factor (g/mi)</v>
      </c>
      <c r="C39" s="108" t="e">
        <f t="shared" si="2"/>
        <v>#N/A</v>
      </c>
      <c r="D39" s="1"/>
      <c r="E39" s="1"/>
      <c r="F39" s="1"/>
      <c r="H39" s="296" t="e">
        <f t="shared" si="1"/>
        <v>#N/A</v>
      </c>
    </row>
    <row r="40" spans="1:16" ht="15.75" customHeight="1" x14ac:dyDescent="0.35">
      <c r="A40" s="1"/>
      <c r="B40" s="1"/>
      <c r="C40" s="1"/>
      <c r="D40" s="1"/>
      <c r="E40" s="1"/>
      <c r="F40" s="1"/>
    </row>
    <row r="42" spans="1:16" ht="15.5" x14ac:dyDescent="0.35">
      <c r="A42" s="1"/>
      <c r="B42" s="61" t="s">
        <v>116</v>
      </c>
      <c r="C42" s="1"/>
      <c r="D42" s="1"/>
      <c r="E42" s="60"/>
      <c r="F42" s="60"/>
    </row>
    <row r="43" spans="1:16" x14ac:dyDescent="0.35">
      <c r="A43" s="60"/>
      <c r="B43" s="102" t="s">
        <v>84</v>
      </c>
      <c r="C43" s="102" t="s">
        <v>85</v>
      </c>
      <c r="D43" s="60"/>
      <c r="E43" s="60"/>
      <c r="F43" s="60"/>
      <c r="H43" s="115"/>
    </row>
    <row r="44" spans="1:16" x14ac:dyDescent="0.35">
      <c r="A44" s="1"/>
      <c r="B44" s="111" t="s">
        <v>65</v>
      </c>
      <c r="C44" s="131" t="e">
        <f>(($H$17*$H$18*H30)-($H$17*$H$18*H35))/$H$24/1000</f>
        <v>#N/A</v>
      </c>
      <c r="D44" s="1"/>
      <c r="E44" s="1"/>
      <c r="F44" s="1"/>
      <c r="H44" s="163" t="e">
        <f>C44</f>
        <v>#N/A</v>
      </c>
    </row>
    <row r="45" spans="1:16" x14ac:dyDescent="0.35">
      <c r="A45" s="1"/>
      <c r="B45" s="111" t="s">
        <v>66</v>
      </c>
      <c r="C45" s="131" t="e">
        <f>(($H$17*$H$18*H31)-($H$17*$H$18*H36))/$H$24/1000</f>
        <v>#N/A</v>
      </c>
      <c r="D45" s="1"/>
      <c r="E45" s="1"/>
      <c r="F45" s="1"/>
      <c r="H45" s="163" t="e">
        <f>C45</f>
        <v>#N/A</v>
      </c>
    </row>
    <row r="46" spans="1:16" x14ac:dyDescent="0.35">
      <c r="A46" s="1"/>
      <c r="B46" s="111" t="s">
        <v>67</v>
      </c>
      <c r="C46" s="131" t="e">
        <f>(($H$17*$H$18*H32)-($H$17*$H$18*H37))/$H$24/1000</f>
        <v>#N/A</v>
      </c>
      <c r="D46" s="1"/>
      <c r="E46" s="1"/>
      <c r="F46" s="1"/>
      <c r="H46" s="163" t="e">
        <f t="shared" ref="H46:H48" si="3">C46</f>
        <v>#N/A</v>
      </c>
    </row>
    <row r="47" spans="1:16" x14ac:dyDescent="0.35">
      <c r="A47" s="1"/>
      <c r="B47" s="111" t="s">
        <v>68</v>
      </c>
      <c r="C47" s="131" t="e">
        <f>(($H$17*$H$18*H33)-($H$17*$H$18*H38))/$H$24/1000</f>
        <v>#N/A</v>
      </c>
      <c r="D47" s="1"/>
      <c r="E47" s="1"/>
      <c r="F47" s="1"/>
      <c r="H47" s="163" t="e">
        <f t="shared" si="3"/>
        <v>#N/A</v>
      </c>
    </row>
    <row r="48" spans="1:16" x14ac:dyDescent="0.35">
      <c r="A48" s="1"/>
      <c r="B48" s="111" t="s">
        <v>69</v>
      </c>
      <c r="C48" s="131" t="e">
        <f>(($H$17*$H$18*H34)-($H$17*$H$18*H39))/$H$24/1000</f>
        <v>#N/A</v>
      </c>
      <c r="D48" s="1"/>
      <c r="E48" s="1"/>
      <c r="F48" s="1"/>
      <c r="H48" s="163" t="e">
        <f t="shared" si="3"/>
        <v>#N/A</v>
      </c>
    </row>
    <row r="49" spans="1:6" x14ac:dyDescent="0.35">
      <c r="A49" s="1"/>
      <c r="B49" s="1"/>
      <c r="C49" s="1"/>
      <c r="D49" s="1"/>
      <c r="E49" s="1"/>
      <c r="F49" s="1"/>
    </row>
  </sheetData>
  <sheetProtection algorithmName="SHA-512" hashValue="3YyCEXuY0f1L0qdhdEY5m1Fq9CB+3vlkXTITQkYWz0D9WMBcSNv1GHnDriMXhqeIlzNLWJAIqnuv7lSklou1Rg==" saltValue="CeEZe/DZ/9V3QjA19jJaFw==" spinCount="100000" sheet="1" objects="1" scenarios="1"/>
  <protectedRanges>
    <protectedRange sqref="C13:C18" name="Range1_1"/>
  </protectedRanges>
  <mergeCells count="6">
    <mergeCell ref="B8:E8"/>
    <mergeCell ref="C3:E3"/>
    <mergeCell ref="B4:E4"/>
    <mergeCell ref="B5:E5"/>
    <mergeCell ref="B6:E6"/>
    <mergeCell ref="B7:E7"/>
  </mergeCells>
  <conditionalFormatting sqref="B30:B39">
    <cfRule type="expression" dxfId="1" priority="3">
      <formula>$C$13="Truck"</formula>
    </cfRule>
  </conditionalFormatting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4859F8FB-94D9-40E9-A845-3466A7A8665D}">
          <x14:formula1>
            <xm:f>Assumptions!$AB$11:$AB$34</xm:f>
          </x14:formula1>
          <xm:sqref>C13</xm:sqref>
        </x14:dataValidation>
        <x14:dataValidation type="list" allowBlank="1" showInputMessage="1" showErrorMessage="1" xr:uid="{7D77FC7D-14C5-48BA-A594-93957E090034}">
          <x14:formula1>
            <xm:f>Assumptions!$AC$6:$AC$21</xm:f>
          </x14:formula1>
          <xm:sqref>C15</xm:sqref>
        </x14:dataValidation>
        <x14:dataValidation type="list" allowBlank="1" showInputMessage="1" showErrorMessage="1" xr:uid="{BE9A8F34-5C73-4B0F-8EC6-A4006B3B9BEA}">
          <x14:formula1>
            <xm:f>Assumptions!$X$37:$X$53</xm:f>
          </x14:formula1>
          <xm:sqref>C16</xm:sqref>
        </x14:dataValidation>
        <x14:dataValidation type="list" allowBlank="1" showInputMessage="1" showErrorMessage="1" xr:uid="{AA2FBECB-2D8C-4089-A51B-CC899C40688D}">
          <x14:formula1>
            <xm:f>Assumptions!$X$3:$X$40</xm:f>
          </x14:formula1>
          <xm:sqref>C14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>
    <tabColor theme="9"/>
  </sheetPr>
  <dimension ref="A1:AY49"/>
  <sheetViews>
    <sheetView zoomScaleNormal="100" zoomScalePageLayoutView="80" workbookViewId="0"/>
  </sheetViews>
  <sheetFormatPr defaultColWidth="8.7265625" defaultRowHeight="14.5" x14ac:dyDescent="0.35"/>
  <cols>
    <col min="1" max="1" width="3.453125" style="64" customWidth="1"/>
    <col min="2" max="2" width="58.26953125" style="64" customWidth="1"/>
    <col min="3" max="3" width="26.26953125" style="64" customWidth="1"/>
    <col min="4" max="4" width="9.26953125" style="64" customWidth="1"/>
    <col min="5" max="5" width="8.453125" style="64" customWidth="1"/>
    <col min="6" max="6" width="4.7265625" style="64" customWidth="1"/>
    <col min="7" max="7" width="11.453125" style="64" hidden="1" customWidth="1"/>
    <col min="8" max="8" width="22.7265625" style="64" hidden="1" customWidth="1"/>
    <col min="9" max="9" width="16.453125" style="64" hidden="1" customWidth="1"/>
    <col min="10" max="10" width="32.26953125" style="64" hidden="1" customWidth="1"/>
    <col min="11" max="11" width="6.453125" style="64" hidden="1" customWidth="1"/>
    <col min="12" max="12" width="16" style="64" hidden="1" customWidth="1"/>
    <col min="13" max="13" width="4" style="64" hidden="1" customWidth="1"/>
    <col min="14" max="14" width="32" style="64" hidden="1" customWidth="1"/>
    <col min="15" max="15" width="7.7265625" style="64" hidden="1" customWidth="1"/>
    <col min="16" max="16" width="9.453125" style="64" hidden="1" customWidth="1"/>
    <col min="17" max="46" width="8.453125" style="64" customWidth="1"/>
    <col min="47" max="16384" width="8.7265625" style="64"/>
  </cols>
  <sheetData>
    <row r="1" spans="1:51" s="66" customFormat="1" ht="32.25" customHeight="1" x14ac:dyDescent="0.35">
      <c r="A1" s="63" t="s">
        <v>264</v>
      </c>
      <c r="B1" s="64"/>
      <c r="C1" s="64"/>
      <c r="D1" s="64"/>
      <c r="E1" s="64"/>
      <c r="H1" s="64"/>
      <c r="I1" s="64"/>
    </row>
    <row r="2" spans="1:51" s="66" customFormat="1" ht="15.75" customHeight="1" x14ac:dyDescent="0.35">
      <c r="A2" s="63"/>
      <c r="B2" s="64"/>
      <c r="C2" s="64"/>
      <c r="D2" s="64"/>
      <c r="E2" s="64"/>
      <c r="H2" s="64"/>
      <c r="I2" s="64"/>
    </row>
    <row r="3" spans="1:51" s="66" customFormat="1" ht="18" customHeight="1" x14ac:dyDescent="0.35">
      <c r="A3" s="185"/>
      <c r="B3" s="61" t="s">
        <v>77</v>
      </c>
      <c r="C3" s="549"/>
      <c r="D3" s="549"/>
      <c r="E3" s="549"/>
      <c r="F3" s="184"/>
      <c r="H3" s="64"/>
      <c r="I3" s="64"/>
    </row>
    <row r="4" spans="1:51" customFormat="1" ht="23.5" x14ac:dyDescent="0.35">
      <c r="A4" s="186"/>
      <c r="B4" s="550" t="s">
        <v>78</v>
      </c>
      <c r="C4" s="550"/>
      <c r="D4" s="550"/>
      <c r="E4" s="550"/>
      <c r="F4" s="187"/>
      <c r="G4" s="66"/>
      <c r="H4" s="64"/>
      <c r="I4" s="64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66"/>
      <c r="AI4" s="66"/>
      <c r="AJ4" s="66"/>
      <c r="AK4" s="66"/>
      <c r="AL4" s="66"/>
      <c r="AM4" s="66"/>
      <c r="AN4" s="66"/>
      <c r="AO4" s="66"/>
      <c r="AP4" s="66"/>
      <c r="AQ4" s="66"/>
      <c r="AR4" s="66"/>
      <c r="AS4" s="66"/>
      <c r="AT4" s="66"/>
      <c r="AU4" s="66"/>
      <c r="AV4" s="66"/>
      <c r="AW4" s="66"/>
      <c r="AX4" s="66"/>
      <c r="AY4" s="66"/>
    </row>
    <row r="5" spans="1:51" customFormat="1" ht="30" customHeight="1" x14ac:dyDescent="0.35">
      <c r="A5" s="186"/>
      <c r="B5" s="551" t="s">
        <v>79</v>
      </c>
      <c r="C5" s="551"/>
      <c r="D5" s="551"/>
      <c r="E5" s="551"/>
      <c r="F5" s="187"/>
      <c r="G5" s="66"/>
      <c r="H5" s="64"/>
      <c r="I5" s="64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66"/>
      <c r="W5" s="66"/>
      <c r="X5" s="66"/>
      <c r="Y5" s="66"/>
      <c r="Z5" s="66"/>
      <c r="AA5" s="66"/>
      <c r="AB5" s="66"/>
      <c r="AC5" s="66"/>
      <c r="AD5" s="66"/>
      <c r="AE5" s="66"/>
      <c r="AF5" s="66"/>
      <c r="AG5" s="66"/>
      <c r="AH5" s="66"/>
      <c r="AI5" s="66"/>
      <c r="AJ5" s="66"/>
      <c r="AK5" s="66"/>
      <c r="AL5" s="66"/>
      <c r="AM5" s="66"/>
      <c r="AN5" s="66"/>
      <c r="AO5" s="66"/>
      <c r="AP5" s="66"/>
      <c r="AQ5" s="66"/>
      <c r="AR5" s="66"/>
      <c r="AS5" s="66"/>
      <c r="AT5" s="66"/>
      <c r="AU5" s="66"/>
      <c r="AV5" s="66"/>
      <c r="AW5" s="66"/>
      <c r="AX5" s="66"/>
      <c r="AY5" s="66"/>
    </row>
    <row r="6" spans="1:51" customFormat="1" ht="29.25" customHeight="1" x14ac:dyDescent="0.35">
      <c r="A6" s="186"/>
      <c r="B6" s="552" t="s">
        <v>80</v>
      </c>
      <c r="C6" s="552"/>
      <c r="D6" s="552"/>
      <c r="E6" s="552"/>
      <c r="F6" s="187"/>
      <c r="G6" s="66"/>
      <c r="H6" s="64"/>
      <c r="I6" s="64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  <c r="AA6" s="66"/>
      <c r="AB6" s="66"/>
      <c r="AC6" s="66"/>
      <c r="AD6" s="66"/>
      <c r="AE6" s="66"/>
      <c r="AF6" s="66"/>
      <c r="AG6" s="66"/>
      <c r="AH6" s="66"/>
      <c r="AI6" s="66"/>
      <c r="AJ6" s="66"/>
      <c r="AK6" s="66"/>
      <c r="AL6" s="66"/>
      <c r="AM6" s="66"/>
      <c r="AN6" s="66"/>
      <c r="AO6" s="66"/>
      <c r="AP6" s="66"/>
      <c r="AQ6" s="66"/>
      <c r="AR6" s="66"/>
      <c r="AS6" s="66"/>
      <c r="AT6" s="66"/>
      <c r="AU6" s="66"/>
      <c r="AV6" s="66"/>
      <c r="AW6" s="66"/>
      <c r="AX6" s="66"/>
      <c r="AY6" s="66"/>
    </row>
    <row r="7" spans="1:51" customFormat="1" ht="27" customHeight="1" x14ac:dyDescent="0.35">
      <c r="A7" s="186"/>
      <c r="B7" s="553" t="s">
        <v>81</v>
      </c>
      <c r="C7" s="553"/>
      <c r="D7" s="553"/>
      <c r="E7" s="553"/>
      <c r="F7" s="187"/>
      <c r="G7" s="66"/>
      <c r="H7" s="64"/>
      <c r="I7" s="64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66"/>
      <c r="Y7" s="66"/>
      <c r="Z7" s="66"/>
      <c r="AA7" s="66"/>
      <c r="AB7" s="66"/>
      <c r="AC7" s="66"/>
      <c r="AD7" s="66"/>
      <c r="AE7" s="66"/>
      <c r="AF7" s="66"/>
      <c r="AG7" s="66"/>
      <c r="AH7" s="66"/>
      <c r="AI7" s="66"/>
      <c r="AJ7" s="66"/>
      <c r="AK7" s="66"/>
      <c r="AL7" s="66"/>
      <c r="AM7" s="66"/>
      <c r="AN7" s="66"/>
      <c r="AO7" s="66"/>
      <c r="AP7" s="66"/>
      <c r="AQ7" s="66"/>
      <c r="AR7" s="66"/>
      <c r="AS7" s="66"/>
      <c r="AT7" s="66"/>
      <c r="AU7" s="66"/>
      <c r="AV7" s="66"/>
      <c r="AW7" s="66"/>
      <c r="AX7" s="66"/>
      <c r="AY7" s="66"/>
    </row>
    <row r="8" spans="1:51" customFormat="1" ht="23.5" x14ac:dyDescent="0.35">
      <c r="A8" s="186"/>
      <c r="B8" s="548" t="s">
        <v>82</v>
      </c>
      <c r="C8" s="548"/>
      <c r="D8" s="548"/>
      <c r="E8" s="548"/>
      <c r="F8" s="187"/>
      <c r="G8" s="66"/>
      <c r="H8" s="64"/>
      <c r="I8" s="64"/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  <c r="U8" s="66"/>
      <c r="V8" s="66"/>
      <c r="W8" s="66"/>
      <c r="X8" s="66"/>
      <c r="Y8" s="66"/>
      <c r="Z8" s="66"/>
      <c r="AA8" s="66"/>
      <c r="AB8" s="66"/>
      <c r="AC8" s="66"/>
      <c r="AD8" s="66"/>
      <c r="AE8" s="66"/>
      <c r="AF8" s="66"/>
      <c r="AG8" s="66"/>
      <c r="AH8" s="66"/>
      <c r="AI8" s="66"/>
      <c r="AJ8" s="66"/>
      <c r="AK8" s="66"/>
      <c r="AL8" s="66"/>
      <c r="AM8" s="66"/>
      <c r="AN8" s="66"/>
      <c r="AO8" s="66"/>
      <c r="AP8" s="66"/>
      <c r="AQ8" s="66"/>
      <c r="AR8" s="66"/>
      <c r="AS8" s="66"/>
      <c r="AT8" s="66"/>
      <c r="AU8" s="66"/>
      <c r="AV8" s="66"/>
      <c r="AW8" s="66"/>
      <c r="AX8" s="66"/>
      <c r="AY8" s="66"/>
    </row>
    <row r="9" spans="1:51" s="66" customFormat="1" ht="11.25" customHeight="1" x14ac:dyDescent="0.35">
      <c r="A9" s="186"/>
      <c r="B9" s="193"/>
      <c r="C9" s="193"/>
      <c r="D9" s="193"/>
      <c r="E9" s="193"/>
      <c r="F9" s="187"/>
      <c r="H9" s="64"/>
      <c r="I9" s="64"/>
      <c r="J9" s="64"/>
    </row>
    <row r="10" spans="1:51" s="66" customFormat="1" x14ac:dyDescent="0.35">
      <c r="H10" s="64"/>
      <c r="I10" s="64"/>
      <c r="J10" s="64"/>
      <c r="K10" s="64"/>
    </row>
    <row r="11" spans="1:51" ht="15" customHeight="1" x14ac:dyDescent="0.35">
      <c r="A11" s="1"/>
      <c r="B11" s="61" t="s">
        <v>83</v>
      </c>
      <c r="C11" s="1"/>
      <c r="D11" s="1"/>
      <c r="E11" s="1"/>
      <c r="F11" s="1"/>
    </row>
    <row r="12" spans="1:51" ht="27" customHeight="1" x14ac:dyDescent="0.35">
      <c r="A12" s="1"/>
      <c r="B12" s="102" t="s">
        <v>84</v>
      </c>
      <c r="C12" s="102" t="s">
        <v>85</v>
      </c>
      <c r="D12" s="102"/>
      <c r="E12" s="102"/>
      <c r="F12" s="1"/>
      <c r="G12" s="115" t="s">
        <v>88</v>
      </c>
      <c r="H12" s="115" t="s">
        <v>89</v>
      </c>
      <c r="I12" s="115" t="s">
        <v>90</v>
      </c>
    </row>
    <row r="13" spans="1:51" ht="30" customHeight="1" x14ac:dyDescent="0.35">
      <c r="A13" s="1"/>
      <c r="B13" s="105" t="s">
        <v>256</v>
      </c>
      <c r="C13" s="107"/>
      <c r="D13" s="106"/>
      <c r="E13" s="106"/>
      <c r="F13" s="1"/>
      <c r="H13" s="270">
        <f t="shared" ref="H13:H18" si="0">C13</f>
        <v>0</v>
      </c>
    </row>
    <row r="14" spans="1:51" ht="14.25" customHeight="1" x14ac:dyDescent="0.35">
      <c r="A14" s="1"/>
      <c r="B14" s="105" t="s">
        <v>257</v>
      </c>
      <c r="C14" s="107"/>
      <c r="D14" s="106"/>
      <c r="E14" s="106"/>
      <c r="F14" s="1"/>
      <c r="H14" s="117">
        <f t="shared" si="0"/>
        <v>0</v>
      </c>
      <c r="J14" s="66"/>
    </row>
    <row r="15" spans="1:51" ht="14.25" customHeight="1" x14ac:dyDescent="0.35">
      <c r="A15" s="1"/>
      <c r="B15" s="105" t="s">
        <v>258</v>
      </c>
      <c r="C15" s="107"/>
      <c r="D15" s="106"/>
      <c r="E15" s="106"/>
      <c r="F15" s="1"/>
      <c r="H15" s="122">
        <f t="shared" si="0"/>
        <v>0</v>
      </c>
    </row>
    <row r="16" spans="1:51" ht="14.25" customHeight="1" x14ac:dyDescent="0.35">
      <c r="A16" s="1"/>
      <c r="B16" s="105" t="s">
        <v>259</v>
      </c>
      <c r="C16" s="107"/>
      <c r="D16" s="106"/>
      <c r="E16" s="106"/>
      <c r="F16" s="1"/>
      <c r="H16" s="117">
        <f t="shared" si="0"/>
        <v>0</v>
      </c>
      <c r="J16" s="66"/>
    </row>
    <row r="17" spans="1:16" ht="14.25" customHeight="1" x14ac:dyDescent="0.35">
      <c r="A17" s="1"/>
      <c r="B17" s="105" t="s">
        <v>260</v>
      </c>
      <c r="C17" s="114"/>
      <c r="D17" s="106"/>
      <c r="E17" s="106"/>
      <c r="F17" s="1"/>
      <c r="H17" s="122">
        <f t="shared" si="0"/>
        <v>0</v>
      </c>
      <c r="J17" s="66"/>
    </row>
    <row r="18" spans="1:16" ht="14.25" customHeight="1" x14ac:dyDescent="0.35">
      <c r="A18" s="1"/>
      <c r="B18" s="105" t="s">
        <v>261</v>
      </c>
      <c r="C18" s="114"/>
      <c r="D18" s="106"/>
      <c r="E18" s="106"/>
      <c r="F18" s="1"/>
      <c r="H18" s="122">
        <f t="shared" si="0"/>
        <v>0</v>
      </c>
      <c r="J18" s="66"/>
    </row>
    <row r="19" spans="1:16" ht="15.75" customHeight="1" x14ac:dyDescent="0.35">
      <c r="A19" s="1"/>
      <c r="B19" s="1"/>
      <c r="C19" s="1"/>
      <c r="D19" s="1"/>
      <c r="E19" s="1"/>
      <c r="F19" s="1"/>
    </row>
    <row r="21" spans="1:16" ht="15.5" x14ac:dyDescent="0.35">
      <c r="A21" s="1"/>
      <c r="B21" s="61" t="s">
        <v>96</v>
      </c>
      <c r="C21" s="1"/>
      <c r="D21" s="1"/>
      <c r="E21" s="1"/>
      <c r="F21" s="1"/>
    </row>
    <row r="22" spans="1:16" ht="15.5" x14ac:dyDescent="0.35">
      <c r="A22" s="1"/>
      <c r="B22" s="61"/>
      <c r="C22" s="1"/>
      <c r="D22" s="1"/>
      <c r="E22" s="1"/>
      <c r="F22" s="1"/>
    </row>
    <row r="23" spans="1:16" x14ac:dyDescent="0.35">
      <c r="A23" s="1"/>
      <c r="B23" s="102" t="s">
        <v>84</v>
      </c>
      <c r="C23" s="102" t="s">
        <v>85</v>
      </c>
      <c r="D23" s="1"/>
      <c r="E23" s="1"/>
      <c r="F23" s="1"/>
      <c r="H23" s="115"/>
    </row>
    <row r="24" spans="1:16" x14ac:dyDescent="0.35">
      <c r="A24" s="1"/>
      <c r="B24" s="105" t="s">
        <v>253</v>
      </c>
      <c r="C24" s="154">
        <f>G24</f>
        <v>250</v>
      </c>
      <c r="D24" s="1"/>
      <c r="E24" s="1"/>
      <c r="F24" s="1"/>
      <c r="G24" s="259">
        <f>Assumptions!$D$4</f>
        <v>250</v>
      </c>
      <c r="H24" s="126">
        <f>C24</f>
        <v>250</v>
      </c>
    </row>
    <row r="25" spans="1:16" ht="15.75" customHeight="1" x14ac:dyDescent="0.35">
      <c r="A25" s="1"/>
      <c r="B25" s="1"/>
      <c r="C25" s="1"/>
      <c r="D25" s="1"/>
      <c r="E25" s="1"/>
      <c r="F25" s="1"/>
    </row>
    <row r="26" spans="1:16" ht="15.75" customHeight="1" x14ac:dyDescent="0.35"/>
    <row r="27" spans="1:16" ht="15.75" customHeight="1" x14ac:dyDescent="0.35">
      <c r="A27" s="1"/>
      <c r="B27" s="61" t="s">
        <v>99</v>
      </c>
      <c r="C27" s="1"/>
      <c r="D27" s="1"/>
      <c r="E27" s="1"/>
      <c r="F27" s="1"/>
      <c r="J27" s="269"/>
    </row>
    <row r="28" spans="1:16" ht="15.75" customHeight="1" x14ac:dyDescent="0.35">
      <c r="A28" s="1"/>
      <c r="B28" s="102"/>
      <c r="C28" s="102"/>
      <c r="D28" s="102"/>
      <c r="E28" s="102"/>
      <c r="F28" s="1"/>
      <c r="J28" s="56" t="s">
        <v>262</v>
      </c>
      <c r="K28" s="57" t="s">
        <v>151</v>
      </c>
      <c r="L28" s="160">
        <f>'LD ZEVs'!$H$14</f>
        <v>0</v>
      </c>
      <c r="N28" s="56" t="s">
        <v>263</v>
      </c>
      <c r="O28" s="57" t="s">
        <v>151</v>
      </c>
      <c r="P28" s="160">
        <f>$H$16</f>
        <v>0</v>
      </c>
    </row>
    <row r="29" spans="1:16" ht="15.75" customHeight="1" x14ac:dyDescent="0.35">
      <c r="A29" s="1"/>
      <c r="B29" s="102" t="s">
        <v>84</v>
      </c>
      <c r="C29" s="102" t="s">
        <v>85</v>
      </c>
      <c r="D29" s="1"/>
      <c r="E29" s="1"/>
      <c r="F29" s="1"/>
      <c r="J29" s="159" t="str">
        <f>CONCATENATE('LD ZEVs'!$H$13," - ","CO2eq")</f>
        <v>0 - CO2eq</v>
      </c>
      <c r="K29" s="495" t="s">
        <v>107</v>
      </c>
      <c r="L29" s="496" t="e">
        <f>HLOOKUP($J29,'Emission Factors'!$C$259:$HD$310,MATCH(L$28,'Emission Factors'!$B$259:$B$310,0),0)</f>
        <v>#N/A</v>
      </c>
      <c r="N29" s="159" t="str">
        <f>IF($H$15="Other alt fuel vehicle","",$H$15&amp;" - CO2eq")</f>
        <v>0 - CO2eq</v>
      </c>
      <c r="O29" s="495" t="s">
        <v>107</v>
      </c>
      <c r="P29" s="496" t="e">
        <f>HLOOKUP($N29,'Emission Factors'!$C$259:$HD$310,MATCH(P$28,'Emission Factors'!$B$259:$B$310,0),0)</f>
        <v>#N/A</v>
      </c>
    </row>
    <row r="30" spans="1:16" ht="15.75" customHeight="1" x14ac:dyDescent="0.35">
      <c r="A30" s="1"/>
      <c r="B30" s="255" t="str">
        <f>TEXT($H$14,"0")&amp;" "&amp;$H$13&amp;" CO2 emissions factor (g/mi)"</f>
        <v>0 0 CO2 emissions factor (g/mi)</v>
      </c>
      <c r="C30" s="108" t="e">
        <f>L29</f>
        <v>#N/A</v>
      </c>
      <c r="D30" s="1"/>
      <c r="E30" s="1"/>
      <c r="F30" s="1"/>
      <c r="H30" s="296" t="e">
        <f>C30</f>
        <v>#N/A</v>
      </c>
      <c r="J30" s="85" t="str">
        <f>CONCATENATE('LD ZEVs'!$H$13," - ","CO")</f>
        <v>0 - CO</v>
      </c>
      <c r="K30" s="443" t="s">
        <v>107</v>
      </c>
      <c r="L30" s="493" t="e">
        <f>HLOOKUP($J30,'Emission Factors'!$C$259:$HD$310,MATCH(L$28,'Emission Factors'!$B$259:$B$310,0),0)</f>
        <v>#N/A</v>
      </c>
      <c r="N30" s="85" t="str">
        <f>IF($H$15="Other alt fuel vehicle","",$H$15&amp;" - CO")</f>
        <v>0 - CO</v>
      </c>
      <c r="O30" s="443" t="s">
        <v>107</v>
      </c>
      <c r="P30" s="493" t="e">
        <f>HLOOKUP($N30,'Emission Factors'!$C$259:$HD$310,MATCH(P$28,'Emission Factors'!$B$259:$B$310,0),0)</f>
        <v>#N/A</v>
      </c>
    </row>
    <row r="31" spans="1:16" ht="15.75" customHeight="1" x14ac:dyDescent="0.35">
      <c r="A31" s="1"/>
      <c r="B31" s="255" t="str">
        <f>TEXT($H$14,"0")&amp;" "&amp;$H$13&amp;" CO emissions factor (g/mi)"</f>
        <v>0 0 CO emissions factor (g/mi)</v>
      </c>
      <c r="C31" s="108" t="e">
        <f>L30</f>
        <v>#N/A</v>
      </c>
      <c r="D31" s="1"/>
      <c r="E31" s="1"/>
      <c r="F31" s="1"/>
      <c r="H31" s="296" t="e">
        <f t="shared" ref="H31:H39" si="1">C31</f>
        <v>#N/A</v>
      </c>
      <c r="J31" s="85" t="str">
        <f>CONCATENATE('LD ZEVs'!$H$13," - ","PM2.5")</f>
        <v>0 - PM2.5</v>
      </c>
      <c r="K31" s="443" t="s">
        <v>107</v>
      </c>
      <c r="L31" s="493" t="e">
        <f>HLOOKUP($J31,'Emission Factors'!$C$259:$HD$310,MATCH(L$28,'Emission Factors'!$B$259:$B$310,0),0)</f>
        <v>#N/A</v>
      </c>
      <c r="N31" s="85" t="str">
        <f>IF($H$15="Other alt fuel vehicle","",$H$15&amp;" - PM2.5")</f>
        <v>0 - PM2.5</v>
      </c>
      <c r="O31" s="443" t="s">
        <v>107</v>
      </c>
      <c r="P31" s="493" t="e">
        <f>HLOOKUP($N31,'Emission Factors'!$C$259:$HD$310,MATCH(P$28,'Emission Factors'!$B$259:$B$310,0),0)</f>
        <v>#N/A</v>
      </c>
    </row>
    <row r="32" spans="1:16" ht="15.75" customHeight="1" x14ac:dyDescent="0.35">
      <c r="A32" s="1"/>
      <c r="B32" s="255" t="str">
        <f>TEXT($H$14,"0")&amp;" "&amp;$H$13&amp;" PM2.5 emissions factor (g/mi)"</f>
        <v>0 0 PM2.5 emissions factor (g/mi)</v>
      </c>
      <c r="C32" s="108" t="e">
        <f>L31</f>
        <v>#N/A</v>
      </c>
      <c r="D32" s="1"/>
      <c r="E32" s="1"/>
      <c r="F32" s="1"/>
      <c r="H32" s="296" t="e">
        <f t="shared" si="1"/>
        <v>#N/A</v>
      </c>
      <c r="J32" s="85" t="str">
        <f>CONCATENATE('LD ZEVs'!$H$13," - ","NOX")</f>
        <v>0 - NOX</v>
      </c>
      <c r="K32" s="443" t="s">
        <v>107</v>
      </c>
      <c r="L32" s="493" t="e">
        <f>HLOOKUP($J32,'Emission Factors'!$C$259:$HD$310,MATCH(L$28,'Emission Factors'!$B$259:$B$310,0),0)</f>
        <v>#N/A</v>
      </c>
      <c r="N32" s="85" t="str">
        <f>IF($H$15="Other alt fuel vehicle","",$H$15&amp;" - NOX")</f>
        <v>0 - NOX</v>
      </c>
      <c r="O32" s="443" t="s">
        <v>107</v>
      </c>
      <c r="P32" s="493" t="e">
        <f>HLOOKUP($N32,'Emission Factors'!$C$259:$HD$310,MATCH(P$28,'Emission Factors'!$B$259:$B$310,0),0)</f>
        <v>#N/A</v>
      </c>
    </row>
    <row r="33" spans="1:16" ht="15.75" customHeight="1" x14ac:dyDescent="0.35">
      <c r="A33" s="1"/>
      <c r="B33" s="255" t="str">
        <f>TEXT($H$14,"0")&amp;" "&amp;$H$13&amp;" NOX emissions factor (g/mi)"</f>
        <v>0 0 NOX emissions factor (g/mi)</v>
      </c>
      <c r="C33" s="108" t="e">
        <f>L32</f>
        <v>#N/A</v>
      </c>
      <c r="D33" s="1"/>
      <c r="E33" s="1"/>
      <c r="F33" s="1"/>
      <c r="H33" s="296" t="e">
        <f t="shared" si="1"/>
        <v>#N/A</v>
      </c>
      <c r="J33" s="91" t="str">
        <f>CONCATENATE('LD ZEVs'!$H$13," - ","VOC")</f>
        <v>0 - VOC</v>
      </c>
      <c r="K33" s="445" t="s">
        <v>107</v>
      </c>
      <c r="L33" s="494" t="e">
        <f>HLOOKUP($J33,'Emission Factors'!$C$259:$HD$310,MATCH(L$28,'Emission Factors'!$B$259:$B$310,0),0)</f>
        <v>#N/A</v>
      </c>
      <c r="N33" s="91" t="str">
        <f>IF($H$15="Other alt fuel vehicle","",$H$15&amp;" - VOC")</f>
        <v>0 - VOC</v>
      </c>
      <c r="O33" s="445" t="s">
        <v>107</v>
      </c>
      <c r="P33" s="494" t="e">
        <f>HLOOKUP($N33,'Emission Factors'!$C$259:$HD$310,MATCH(P$28,'Emission Factors'!$B$259:$B$310,0),0)</f>
        <v>#N/A</v>
      </c>
    </row>
    <row r="34" spans="1:16" ht="15.75" customHeight="1" x14ac:dyDescent="0.35">
      <c r="A34" s="1"/>
      <c r="B34" s="255" t="str">
        <f>TEXT($H$14,"0")&amp;" "&amp;$H$13&amp;" VOC emissions factor (g/mi)"</f>
        <v>0 0 VOC emissions factor (g/mi)</v>
      </c>
      <c r="C34" s="108" t="e">
        <f>L33</f>
        <v>#N/A</v>
      </c>
      <c r="D34" s="1"/>
      <c r="E34" s="1"/>
      <c r="F34" s="1"/>
      <c r="H34" s="296" t="e">
        <f t="shared" si="1"/>
        <v>#N/A</v>
      </c>
    </row>
    <row r="35" spans="1:16" ht="15.75" customHeight="1" x14ac:dyDescent="0.35">
      <c r="A35" s="1"/>
      <c r="B35" s="255" t="str">
        <f>TEXT($H$16,"0")&amp;" "&amp;$H$15&amp;" CO2 emissions factor (g/mi)"</f>
        <v>0 0 CO2 emissions factor (g/mi)</v>
      </c>
      <c r="C35" s="108" t="e">
        <f>P29</f>
        <v>#N/A</v>
      </c>
      <c r="D35" s="1"/>
      <c r="E35" s="1"/>
      <c r="F35" s="1"/>
      <c r="H35" s="296" t="e">
        <f t="shared" si="1"/>
        <v>#N/A</v>
      </c>
    </row>
    <row r="36" spans="1:16" ht="15.75" customHeight="1" x14ac:dyDescent="0.35">
      <c r="A36" s="1"/>
      <c r="B36" s="255" t="str">
        <f>TEXT($H$16,"0")&amp;" "&amp;$H$15&amp;" CO emissions factor (g/mi)"</f>
        <v>0 0 CO emissions factor (g/mi)</v>
      </c>
      <c r="C36" s="108" t="e">
        <f t="shared" ref="C36:C38" si="2">P30</f>
        <v>#N/A</v>
      </c>
      <c r="D36" s="1"/>
      <c r="E36" s="1"/>
      <c r="F36" s="1"/>
      <c r="H36" s="296" t="e">
        <f t="shared" si="1"/>
        <v>#N/A</v>
      </c>
    </row>
    <row r="37" spans="1:16" ht="15.75" customHeight="1" x14ac:dyDescent="0.35">
      <c r="A37" s="1"/>
      <c r="B37" s="255" t="str">
        <f>TEXT($H$16,"0")&amp;" "&amp;$H$15&amp;" PM2.5 emissions factor (g/mi)"</f>
        <v>0 0 PM2.5 emissions factor (g/mi)</v>
      </c>
      <c r="C37" s="108" t="e">
        <f t="shared" si="2"/>
        <v>#N/A</v>
      </c>
      <c r="D37" s="1"/>
      <c r="E37" s="1"/>
      <c r="F37" s="1"/>
      <c r="H37" s="296" t="e">
        <f t="shared" si="1"/>
        <v>#N/A</v>
      </c>
    </row>
    <row r="38" spans="1:16" ht="15.75" customHeight="1" x14ac:dyDescent="0.35">
      <c r="A38" s="1"/>
      <c r="B38" s="255" t="str">
        <f>TEXT($H$16,"0")&amp;" "&amp;$H$15&amp;" NOX emissions factor (g/mi)"</f>
        <v>0 0 NOX emissions factor (g/mi)</v>
      </c>
      <c r="C38" s="108" t="e">
        <f t="shared" si="2"/>
        <v>#N/A</v>
      </c>
      <c r="D38" s="1"/>
      <c r="E38" s="1"/>
      <c r="F38" s="1"/>
      <c r="H38" s="296" t="e">
        <f t="shared" si="1"/>
        <v>#N/A</v>
      </c>
    </row>
    <row r="39" spans="1:16" ht="15.75" customHeight="1" x14ac:dyDescent="0.35">
      <c r="A39" s="1"/>
      <c r="B39" s="255" t="str">
        <f>TEXT($H$16,"0")&amp;" "&amp;$H$15&amp;" VOC emissions factor (g/mi)"</f>
        <v>0 0 VOC emissions factor (g/mi)</v>
      </c>
      <c r="C39" s="108" t="e">
        <f>P33</f>
        <v>#N/A</v>
      </c>
      <c r="D39" s="1"/>
      <c r="E39" s="1"/>
      <c r="F39" s="1"/>
      <c r="H39" s="296" t="e">
        <f t="shared" si="1"/>
        <v>#N/A</v>
      </c>
    </row>
    <row r="40" spans="1:16" ht="15.75" customHeight="1" x14ac:dyDescent="0.35">
      <c r="A40" s="1"/>
      <c r="B40" s="1"/>
      <c r="C40" s="1"/>
      <c r="D40" s="1"/>
      <c r="E40" s="1"/>
      <c r="F40" s="1"/>
    </row>
    <row r="42" spans="1:16" ht="15.5" x14ac:dyDescent="0.35">
      <c r="A42" s="1"/>
      <c r="B42" s="61" t="s">
        <v>116</v>
      </c>
      <c r="C42" s="1"/>
      <c r="D42" s="1"/>
      <c r="E42" s="60"/>
      <c r="F42" s="60"/>
    </row>
    <row r="43" spans="1:16" x14ac:dyDescent="0.35">
      <c r="A43" s="60"/>
      <c r="B43" s="102" t="s">
        <v>84</v>
      </c>
      <c r="C43" s="102" t="s">
        <v>85</v>
      </c>
      <c r="D43" s="60"/>
      <c r="E43" s="60"/>
      <c r="F43" s="60"/>
      <c r="H43" s="115"/>
    </row>
    <row r="44" spans="1:16" x14ac:dyDescent="0.35">
      <c r="A44" s="1"/>
      <c r="B44" s="111" t="s">
        <v>65</v>
      </c>
      <c r="C44" s="131" t="e">
        <f>(($H$17*$H$18*H30)-($H$17*$H$18*H35))/$H$24/1000</f>
        <v>#N/A</v>
      </c>
      <c r="D44" s="1"/>
      <c r="E44" s="1"/>
      <c r="F44" s="1"/>
      <c r="H44" s="163" t="e">
        <f t="shared" ref="H44:H48" si="3">C44</f>
        <v>#N/A</v>
      </c>
    </row>
    <row r="45" spans="1:16" x14ac:dyDescent="0.35">
      <c r="A45" s="1"/>
      <c r="B45" s="111" t="s">
        <v>66</v>
      </c>
      <c r="C45" s="131" t="e">
        <f>(($H$17*$H$18*H31)-($H$17*$H$18*H36))/$H$24/1000</f>
        <v>#N/A</v>
      </c>
      <c r="D45" s="1"/>
      <c r="E45" s="1"/>
      <c r="F45" s="1"/>
      <c r="H45" s="163" t="e">
        <f t="shared" si="3"/>
        <v>#N/A</v>
      </c>
    </row>
    <row r="46" spans="1:16" x14ac:dyDescent="0.35">
      <c r="A46" s="1"/>
      <c r="B46" s="111" t="s">
        <v>67</v>
      </c>
      <c r="C46" s="131" t="e">
        <f>(($H$17*$H$18*H32)-($H$17*$H$18*H37))/$H$24/1000</f>
        <v>#N/A</v>
      </c>
      <c r="D46" s="1"/>
      <c r="E46" s="1"/>
      <c r="F46" s="1"/>
      <c r="H46" s="163" t="e">
        <f t="shared" si="3"/>
        <v>#N/A</v>
      </c>
    </row>
    <row r="47" spans="1:16" x14ac:dyDescent="0.35">
      <c r="A47" s="1"/>
      <c r="B47" s="111" t="s">
        <v>68</v>
      </c>
      <c r="C47" s="131" t="e">
        <f>(($H$17*$H$18*H33)-($H$17*$H$18*H38))/$H$24/1000</f>
        <v>#N/A</v>
      </c>
      <c r="D47" s="1"/>
      <c r="E47" s="1"/>
      <c r="F47" s="1"/>
      <c r="H47" s="163" t="e">
        <f t="shared" si="3"/>
        <v>#N/A</v>
      </c>
    </row>
    <row r="48" spans="1:16" x14ac:dyDescent="0.35">
      <c r="A48" s="1"/>
      <c r="B48" s="111" t="s">
        <v>69</v>
      </c>
      <c r="C48" s="131" t="e">
        <f>(($H$17*$H$18*H34)-($H$17*$H$18*H39))/$H$24/1000</f>
        <v>#N/A</v>
      </c>
      <c r="D48" s="1"/>
      <c r="E48" s="1"/>
      <c r="F48" s="1"/>
      <c r="H48" s="163" t="e">
        <f t="shared" si="3"/>
        <v>#N/A</v>
      </c>
    </row>
    <row r="49" spans="1:6" x14ac:dyDescent="0.35">
      <c r="A49" s="1"/>
      <c r="B49" s="1"/>
      <c r="C49" s="1"/>
      <c r="D49" s="1"/>
      <c r="E49" s="1"/>
      <c r="F49" s="1"/>
    </row>
  </sheetData>
  <sheetProtection algorithmName="SHA-512" hashValue="98yktyecIA5aTVYbXp7WL+71RmTTrEl6E5B92tRK4HmzJPZtbJp6Yjiiqav4J4NGygOsOOrTySC0YlnytR9CGQ==" saltValue="JAi65QW5DeyVq8sfOtWD7Q==" spinCount="100000" sheet="1" objects="1" scenarios="1"/>
  <protectedRanges>
    <protectedRange sqref="C13:C18" name="Range1"/>
  </protectedRanges>
  <mergeCells count="6">
    <mergeCell ref="B8:E8"/>
    <mergeCell ref="C3:E3"/>
    <mergeCell ref="B4:E4"/>
    <mergeCell ref="B5:E5"/>
    <mergeCell ref="B6:E6"/>
    <mergeCell ref="B7:E7"/>
  </mergeCells>
  <conditionalFormatting sqref="B30:B39">
    <cfRule type="expression" dxfId="0" priority="3">
      <formula>$C$13="Truck"</formula>
    </cfRule>
  </conditionalFormatting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E00-000000000000}">
          <x14:formula1>
            <xm:f>Assumptions!$T$9:$T$25</xm:f>
          </x14:formula1>
          <xm:sqref>C16</xm:sqref>
        </x14:dataValidation>
        <x14:dataValidation type="list" allowBlank="1" showInputMessage="1" showErrorMessage="1" xr:uid="{00000000-0002-0000-0E00-000001000000}">
          <x14:formula1>
            <xm:f>Assumptions!$AC$3:$AC$5</xm:f>
          </x14:formula1>
          <xm:sqref>C15</xm:sqref>
        </x14:dataValidation>
        <x14:dataValidation type="list" allowBlank="1" showInputMessage="1" showErrorMessage="1" xr:uid="{90BBD4A1-6062-4396-88FA-AB4C38B86E0B}">
          <x14:formula1>
            <xm:f>Assumptions!$AB$3:$AB$10</xm:f>
          </x14:formula1>
          <xm:sqref>C13</xm:sqref>
        </x14:dataValidation>
        <x14:dataValidation type="list" allowBlank="1" showInputMessage="1" showErrorMessage="1" xr:uid="{00000000-0002-0000-0E00-000002000000}">
          <x14:formula1>
            <xm:f>Assumptions!$X$3:$X$40</xm:f>
          </x14:formula1>
          <xm:sqref>C14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>
    <tabColor theme="3"/>
  </sheetPr>
  <dimension ref="A1:CH144"/>
  <sheetViews>
    <sheetView zoomScaleNormal="100" workbookViewId="0">
      <selection activeCell="F12" sqref="F12"/>
    </sheetView>
  </sheetViews>
  <sheetFormatPr defaultColWidth="8.7265625" defaultRowHeight="14.5" x14ac:dyDescent="0.35"/>
  <cols>
    <col min="1" max="1" width="4.26953125" customWidth="1"/>
    <col min="2" max="2" width="66.453125" customWidth="1"/>
    <col min="3" max="3" width="11.453125" customWidth="1"/>
    <col min="4" max="4" width="14.7265625" customWidth="1"/>
    <col min="5" max="5" width="15.26953125" customWidth="1"/>
    <col min="7" max="8" width="12" hidden="1" customWidth="1"/>
    <col min="9" max="15" width="8.7265625" hidden="1" customWidth="1"/>
    <col min="16" max="16" width="29" hidden="1" customWidth="1"/>
    <col min="17" max="22" width="8.7265625" hidden="1" customWidth="1"/>
    <col min="23" max="33" width="8.7265625" customWidth="1"/>
    <col min="34" max="34" width="37.7265625" customWidth="1"/>
    <col min="35" max="38" width="8.7265625" customWidth="1"/>
    <col min="40" max="40" width="26.7265625" customWidth="1"/>
  </cols>
  <sheetData>
    <row r="1" spans="1:86" ht="23.5" x14ac:dyDescent="0.35">
      <c r="A1" s="63" t="s">
        <v>58</v>
      </c>
      <c r="B1" s="64"/>
      <c r="C1" s="64"/>
      <c r="D1" s="64"/>
      <c r="E1" s="64"/>
      <c r="F1" s="66"/>
      <c r="G1" s="66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6"/>
      <c r="AA1" s="66"/>
      <c r="AB1" s="66"/>
      <c r="AC1" s="66"/>
      <c r="AD1" s="66"/>
      <c r="AE1" s="66"/>
      <c r="AF1" s="66"/>
      <c r="AG1" s="66"/>
      <c r="AH1" s="66"/>
      <c r="AI1" s="66"/>
      <c r="AJ1" s="66"/>
      <c r="AK1" s="66"/>
      <c r="AL1" s="66"/>
      <c r="AM1" s="66"/>
      <c r="AN1" s="66"/>
      <c r="AO1" s="66"/>
      <c r="AP1" s="66"/>
      <c r="AQ1" s="66"/>
      <c r="AR1" s="66"/>
      <c r="AS1" s="66"/>
      <c r="AT1" s="66"/>
      <c r="AU1" s="66"/>
      <c r="AV1" s="66"/>
      <c r="AW1" s="66"/>
      <c r="AX1" s="66"/>
      <c r="AY1" s="66"/>
      <c r="AZ1" s="66"/>
      <c r="BA1" s="66"/>
      <c r="BB1" s="66"/>
      <c r="BC1" s="66"/>
      <c r="BD1" s="66"/>
      <c r="BE1" s="66"/>
      <c r="BF1" s="66"/>
      <c r="BG1" s="66"/>
      <c r="BH1" s="66"/>
      <c r="BI1" s="66"/>
      <c r="BJ1" s="66"/>
      <c r="BK1" s="66"/>
      <c r="BL1" s="66"/>
      <c r="BM1" s="66"/>
      <c r="BN1" s="66"/>
      <c r="BO1" s="66"/>
      <c r="BP1" s="66"/>
      <c r="BQ1" s="66"/>
      <c r="BR1" s="66"/>
      <c r="BS1" s="66"/>
      <c r="BT1" s="66"/>
      <c r="BU1" s="66"/>
      <c r="BV1" s="66"/>
      <c r="BW1" s="66"/>
      <c r="BX1" s="66"/>
      <c r="BY1" s="66"/>
      <c r="BZ1" s="66"/>
      <c r="CA1" s="66"/>
      <c r="CB1" s="66"/>
      <c r="CC1" s="66"/>
      <c r="CD1" s="66"/>
      <c r="CE1" s="66"/>
      <c r="CF1" s="66"/>
      <c r="CG1" s="66"/>
      <c r="CH1" s="66"/>
    </row>
    <row r="2" spans="1:86" ht="12.75" customHeight="1" x14ac:dyDescent="0.35">
      <c r="A2" s="63"/>
      <c r="B2" s="64"/>
      <c r="C2" s="64"/>
      <c r="D2" s="64"/>
      <c r="E2" s="64"/>
      <c r="F2" s="66"/>
      <c r="G2" s="66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66"/>
      <c r="AL2" s="66"/>
      <c r="AM2" s="66"/>
      <c r="AN2" s="66"/>
      <c r="AO2" s="66"/>
      <c r="AP2" s="66"/>
      <c r="AQ2" s="66"/>
      <c r="AR2" s="66"/>
      <c r="AS2" s="66"/>
      <c r="AT2" s="66"/>
      <c r="AU2" s="66"/>
      <c r="AV2" s="66"/>
      <c r="AW2" s="66"/>
      <c r="AX2" s="66"/>
      <c r="AY2" s="66"/>
      <c r="AZ2" s="66"/>
      <c r="BA2" s="66"/>
      <c r="BB2" s="66"/>
      <c r="BC2" s="66"/>
      <c r="BD2" s="66"/>
      <c r="BE2" s="66"/>
      <c r="BF2" s="66"/>
      <c r="BG2" s="66"/>
      <c r="BH2" s="66"/>
      <c r="BI2" s="66"/>
      <c r="BJ2" s="66"/>
      <c r="BK2" s="66"/>
      <c r="BL2" s="66"/>
      <c r="BM2" s="66"/>
      <c r="BN2" s="66"/>
      <c r="BO2" s="66"/>
      <c r="BP2" s="66"/>
      <c r="BQ2" s="66"/>
      <c r="BR2" s="66"/>
      <c r="BS2" s="66"/>
      <c r="BT2" s="66"/>
      <c r="BU2" s="66"/>
      <c r="BV2" s="66"/>
      <c r="BW2" s="66"/>
      <c r="BX2" s="66"/>
      <c r="BY2" s="66"/>
      <c r="BZ2" s="66"/>
      <c r="CA2" s="66"/>
      <c r="CB2" s="66"/>
      <c r="CC2" s="66"/>
      <c r="CD2" s="66"/>
      <c r="CE2" s="66"/>
      <c r="CF2" s="66"/>
      <c r="CG2" s="66"/>
      <c r="CH2" s="66"/>
    </row>
    <row r="3" spans="1:86" ht="23.5" x14ac:dyDescent="0.35">
      <c r="A3" s="185"/>
      <c r="B3" s="61"/>
      <c r="C3" s="549"/>
      <c r="D3" s="549"/>
      <c r="E3" s="549"/>
      <c r="F3" s="184"/>
      <c r="G3" s="66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  <c r="Z3" s="66"/>
      <c r="AA3" s="66"/>
      <c r="AB3" s="66"/>
      <c r="AC3" s="66"/>
      <c r="AD3" s="66"/>
      <c r="AE3" s="66"/>
      <c r="AF3" s="66"/>
      <c r="AG3" s="66"/>
      <c r="AH3" s="66"/>
      <c r="AI3" s="66"/>
      <c r="AJ3" s="66"/>
      <c r="AK3" s="66"/>
      <c r="AL3" s="66"/>
      <c r="AM3" s="66"/>
      <c r="AN3" s="66"/>
      <c r="AO3" s="66"/>
      <c r="AP3" s="66"/>
      <c r="AQ3" s="66"/>
      <c r="AR3" s="66"/>
      <c r="AS3" s="66"/>
      <c r="AT3" s="66"/>
      <c r="AU3" s="66"/>
      <c r="AV3" s="66"/>
      <c r="AW3" s="66"/>
      <c r="AX3" s="66"/>
      <c r="AY3" s="66"/>
      <c r="AZ3" s="66"/>
      <c r="BA3" s="66"/>
      <c r="BB3" s="66"/>
      <c r="BC3" s="66"/>
      <c r="BD3" s="66"/>
      <c r="BE3" s="66"/>
      <c r="BF3" s="66"/>
      <c r="BG3" s="66"/>
      <c r="BH3" s="66"/>
      <c r="BI3" s="66"/>
      <c r="BJ3" s="66"/>
      <c r="BK3" s="66"/>
      <c r="BL3" s="66"/>
      <c r="BM3" s="66"/>
      <c r="BN3" s="66"/>
      <c r="BO3" s="66"/>
      <c r="BP3" s="66"/>
      <c r="BQ3" s="66"/>
      <c r="BR3" s="66"/>
      <c r="BS3" s="66"/>
      <c r="BT3" s="66"/>
      <c r="BU3" s="66"/>
      <c r="BV3" s="66"/>
      <c r="BW3" s="66"/>
      <c r="BX3" s="66"/>
      <c r="BY3" s="66"/>
      <c r="BZ3" s="66"/>
      <c r="CA3" s="66"/>
      <c r="CB3" s="66"/>
      <c r="CC3" s="66"/>
      <c r="CD3" s="66"/>
      <c r="CE3" s="66"/>
      <c r="CF3" s="66"/>
      <c r="CG3" s="66"/>
      <c r="CH3" s="66"/>
    </row>
    <row r="4" spans="1:86" ht="23.5" x14ac:dyDescent="0.35">
      <c r="A4" s="186"/>
      <c r="B4" s="550" t="s">
        <v>78</v>
      </c>
      <c r="C4" s="550"/>
      <c r="D4" s="550"/>
      <c r="E4" s="550"/>
      <c r="F4" s="187"/>
      <c r="G4" s="66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  <c r="X4" s="64"/>
      <c r="Y4" s="64"/>
      <c r="Z4" s="66"/>
      <c r="AA4" s="66"/>
      <c r="AB4" s="66"/>
      <c r="AC4" s="66"/>
      <c r="AD4" s="66"/>
      <c r="AE4" s="66"/>
      <c r="AF4" s="66"/>
      <c r="AG4" s="66"/>
      <c r="AH4" s="66"/>
      <c r="AI4" s="66"/>
      <c r="AJ4" s="66"/>
      <c r="AK4" s="66"/>
      <c r="AL4" s="66"/>
      <c r="AM4" s="66"/>
      <c r="AN4" s="66"/>
      <c r="AO4" s="66"/>
      <c r="AP4" s="66"/>
      <c r="AQ4" s="66"/>
      <c r="AR4" s="66"/>
      <c r="AS4" s="66"/>
      <c r="AT4" s="66"/>
      <c r="AU4" s="66"/>
      <c r="AV4" s="66"/>
      <c r="AW4" s="66"/>
      <c r="AX4" s="66"/>
      <c r="AY4" s="66"/>
      <c r="AZ4" s="66"/>
      <c r="BA4" s="66"/>
      <c r="BB4" s="66"/>
      <c r="BC4" s="66"/>
      <c r="BD4" s="66"/>
      <c r="BE4" s="66"/>
      <c r="BF4" s="66"/>
      <c r="BG4" s="66"/>
      <c r="BH4" s="66"/>
      <c r="BI4" s="66"/>
      <c r="BJ4" s="66"/>
      <c r="BK4" s="66"/>
      <c r="BL4" s="66"/>
      <c r="BM4" s="66"/>
      <c r="BN4" s="66"/>
      <c r="BO4" s="66"/>
      <c r="BP4" s="66"/>
      <c r="BQ4" s="66"/>
      <c r="BR4" s="66"/>
      <c r="BS4" s="66"/>
      <c r="BT4" s="66"/>
      <c r="BU4" s="66"/>
      <c r="BV4" s="66"/>
      <c r="BW4" s="66"/>
      <c r="BX4" s="66"/>
      <c r="BY4" s="66"/>
      <c r="BZ4" s="66"/>
      <c r="CA4" s="66"/>
      <c r="CB4" s="66"/>
      <c r="CC4" s="66"/>
      <c r="CD4" s="66"/>
      <c r="CE4" s="66"/>
      <c r="CF4" s="66"/>
      <c r="CG4" s="66"/>
      <c r="CH4" s="66"/>
    </row>
    <row r="5" spans="1:86" ht="30" customHeight="1" x14ac:dyDescent="0.35">
      <c r="A5" s="186"/>
      <c r="B5" s="551" t="s">
        <v>79</v>
      </c>
      <c r="C5" s="551"/>
      <c r="D5" s="551"/>
      <c r="E5" s="551"/>
      <c r="F5" s="187"/>
      <c r="G5" s="66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  <c r="Y5" s="64"/>
      <c r="Z5" s="66"/>
      <c r="AA5" s="66"/>
      <c r="AB5" s="66"/>
      <c r="AC5" s="66"/>
      <c r="AD5" s="66"/>
      <c r="AE5" s="66"/>
      <c r="AF5" s="66"/>
      <c r="AG5" s="66"/>
      <c r="AH5" s="66"/>
      <c r="AI5" s="66"/>
      <c r="AJ5" s="66"/>
      <c r="AK5" s="66"/>
      <c r="AL5" s="66"/>
      <c r="AM5" s="66"/>
      <c r="AN5" s="66"/>
      <c r="AO5" s="66"/>
      <c r="AP5" s="66"/>
      <c r="AQ5" s="66"/>
      <c r="AR5" s="66"/>
      <c r="AS5" s="66"/>
      <c r="AT5" s="66"/>
      <c r="AU5" s="66"/>
      <c r="AV5" s="66"/>
      <c r="AW5" s="66"/>
      <c r="AX5" s="66"/>
      <c r="AY5" s="66"/>
      <c r="AZ5" s="66"/>
      <c r="BA5" s="66"/>
      <c r="BB5" s="66"/>
      <c r="BC5" s="66"/>
      <c r="BD5" s="66"/>
      <c r="BE5" s="66"/>
      <c r="BF5" s="66"/>
      <c r="BG5" s="66"/>
      <c r="BH5" s="66"/>
      <c r="BI5" s="66"/>
      <c r="BJ5" s="66"/>
      <c r="BK5" s="66"/>
      <c r="BL5" s="66"/>
      <c r="BM5" s="66"/>
      <c r="BN5" s="66"/>
      <c r="BO5" s="66"/>
      <c r="BP5" s="66"/>
      <c r="BQ5" s="66"/>
      <c r="BR5" s="66"/>
      <c r="BS5" s="66"/>
      <c r="BT5" s="66"/>
      <c r="BU5" s="66"/>
      <c r="BV5" s="66"/>
      <c r="BW5" s="66"/>
      <c r="BX5" s="66"/>
      <c r="BY5" s="66"/>
      <c r="BZ5" s="66"/>
      <c r="CA5" s="66"/>
      <c r="CB5" s="66"/>
      <c r="CC5" s="66"/>
      <c r="CD5" s="66"/>
      <c r="CE5" s="66"/>
      <c r="CF5" s="66"/>
      <c r="CG5" s="66"/>
      <c r="CH5" s="66"/>
    </row>
    <row r="6" spans="1:86" ht="29.25" customHeight="1" x14ac:dyDescent="0.35">
      <c r="A6" s="186"/>
      <c r="B6" s="552" t="s">
        <v>80</v>
      </c>
      <c r="C6" s="552"/>
      <c r="D6" s="552"/>
      <c r="E6" s="552"/>
      <c r="F6" s="187"/>
      <c r="G6" s="66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  <c r="Y6" s="64"/>
      <c r="Z6" s="66"/>
      <c r="AA6" s="66"/>
      <c r="AB6" s="66"/>
      <c r="AC6" s="66"/>
      <c r="AD6" s="66"/>
      <c r="AE6" s="66"/>
      <c r="AF6" s="66"/>
      <c r="AG6" s="66"/>
      <c r="AH6" s="66"/>
      <c r="AI6" s="66"/>
      <c r="AJ6" s="66"/>
      <c r="AK6" s="66"/>
      <c r="AL6" s="66"/>
      <c r="AM6" s="66"/>
      <c r="AN6" s="66"/>
      <c r="AO6" s="66"/>
      <c r="AP6" s="66"/>
      <c r="AQ6" s="66"/>
      <c r="AR6" s="66"/>
      <c r="AS6" s="66"/>
      <c r="AT6" s="66"/>
      <c r="AU6" s="66"/>
      <c r="AV6" s="66"/>
      <c r="AW6" s="66"/>
      <c r="AX6" s="66"/>
      <c r="AY6" s="66"/>
      <c r="AZ6" s="66"/>
      <c r="BA6" s="66"/>
      <c r="BB6" s="66"/>
      <c r="BC6" s="66"/>
      <c r="BD6" s="66"/>
      <c r="BE6" s="66"/>
      <c r="BF6" s="66"/>
      <c r="BG6" s="66"/>
      <c r="BH6" s="66"/>
      <c r="BI6" s="66"/>
      <c r="BJ6" s="66"/>
      <c r="BK6" s="66"/>
      <c r="BL6" s="66"/>
      <c r="BM6" s="66"/>
      <c r="BN6" s="66"/>
      <c r="BO6" s="66"/>
      <c r="BP6" s="66"/>
      <c r="BQ6" s="66"/>
      <c r="BR6" s="66"/>
      <c r="BS6" s="66"/>
      <c r="BT6" s="66"/>
      <c r="BU6" s="66"/>
      <c r="BV6" s="66"/>
      <c r="BW6" s="66"/>
      <c r="BX6" s="66"/>
      <c r="BY6" s="66"/>
      <c r="BZ6" s="66"/>
      <c r="CA6" s="66"/>
      <c r="CB6" s="66"/>
      <c r="CC6" s="66"/>
      <c r="CD6" s="66"/>
      <c r="CE6" s="66"/>
      <c r="CF6" s="66"/>
      <c r="CG6" s="66"/>
      <c r="CH6" s="66"/>
    </row>
    <row r="7" spans="1:86" ht="27" customHeight="1" x14ac:dyDescent="0.35">
      <c r="A7" s="186"/>
      <c r="B7" s="553" t="s">
        <v>81</v>
      </c>
      <c r="C7" s="553"/>
      <c r="D7" s="553"/>
      <c r="E7" s="553"/>
      <c r="F7" s="187"/>
      <c r="G7" s="66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  <c r="Z7" s="66"/>
      <c r="AA7" s="66"/>
      <c r="AB7" s="66"/>
      <c r="AC7" s="66"/>
      <c r="AD7" s="66"/>
      <c r="AE7" s="66"/>
      <c r="AF7" s="66"/>
      <c r="AG7" s="66"/>
      <c r="AH7" s="66"/>
      <c r="AI7" s="66"/>
      <c r="AJ7" s="66"/>
      <c r="AK7" s="66"/>
      <c r="AL7" s="66"/>
      <c r="AM7" s="66"/>
      <c r="AN7" s="66"/>
      <c r="AO7" s="66"/>
      <c r="AP7" s="66"/>
      <c r="AQ7" s="66"/>
      <c r="AR7" s="66"/>
      <c r="AS7" s="66"/>
      <c r="AT7" s="66"/>
      <c r="AU7" s="66"/>
      <c r="AV7" s="66"/>
      <c r="AW7" s="66"/>
      <c r="AX7" s="66"/>
      <c r="AY7" s="66"/>
      <c r="AZ7" s="66"/>
      <c r="BA7" s="66"/>
      <c r="BB7" s="66"/>
      <c r="BC7" s="66"/>
      <c r="BD7" s="66"/>
      <c r="BE7" s="66"/>
      <c r="BF7" s="66"/>
      <c r="BG7" s="66"/>
      <c r="BH7" s="66"/>
      <c r="BI7" s="66"/>
      <c r="BJ7" s="66"/>
      <c r="BK7" s="66"/>
      <c r="BL7" s="66"/>
      <c r="BM7" s="66"/>
      <c r="BN7" s="66"/>
      <c r="BO7" s="66"/>
      <c r="BP7" s="66"/>
      <c r="BQ7" s="66"/>
      <c r="BR7" s="66"/>
      <c r="BS7" s="66"/>
      <c r="BT7" s="66"/>
      <c r="BU7" s="66"/>
      <c r="BV7" s="66"/>
      <c r="BW7" s="66"/>
      <c r="BX7" s="66"/>
      <c r="BY7" s="66"/>
      <c r="BZ7" s="66"/>
      <c r="CA7" s="66"/>
      <c r="CB7" s="66"/>
      <c r="CC7" s="66"/>
      <c r="CD7" s="66"/>
      <c r="CE7" s="66"/>
      <c r="CF7" s="66"/>
      <c r="CG7" s="66"/>
      <c r="CH7" s="66"/>
    </row>
    <row r="8" spans="1:86" ht="23.5" x14ac:dyDescent="0.35">
      <c r="A8" s="186"/>
      <c r="B8" s="548" t="s">
        <v>82</v>
      </c>
      <c r="C8" s="548"/>
      <c r="D8" s="548"/>
      <c r="E8" s="548"/>
      <c r="F8" s="187"/>
      <c r="G8" s="66"/>
      <c r="H8" s="64"/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  <c r="U8" s="64"/>
      <c r="V8" s="64"/>
      <c r="W8" s="64"/>
      <c r="X8" s="64"/>
      <c r="Y8" s="64"/>
      <c r="Z8" s="66"/>
      <c r="AA8" s="66"/>
      <c r="AB8" s="66"/>
      <c r="AC8" s="66"/>
      <c r="AD8" s="66"/>
      <c r="AE8" s="66"/>
      <c r="AF8" s="66"/>
      <c r="AG8" s="66"/>
      <c r="AH8" s="66"/>
      <c r="AI8" s="66"/>
      <c r="AJ8" s="66"/>
      <c r="AK8" s="66"/>
      <c r="AL8" s="66"/>
      <c r="AM8" s="66"/>
      <c r="AN8" s="66"/>
      <c r="AO8" s="66"/>
      <c r="AP8" s="66"/>
      <c r="AQ8" s="66"/>
      <c r="AR8" s="66"/>
      <c r="AS8" s="66"/>
      <c r="AT8" s="66"/>
      <c r="AU8" s="66"/>
      <c r="AV8" s="66"/>
      <c r="AW8" s="66"/>
      <c r="AX8" s="66"/>
      <c r="AY8" s="66"/>
      <c r="AZ8" s="66"/>
      <c r="BA8" s="66"/>
      <c r="BB8" s="66"/>
      <c r="BC8" s="66"/>
      <c r="BD8" s="66"/>
      <c r="BE8" s="66"/>
      <c r="BF8" s="66"/>
      <c r="BG8" s="66"/>
      <c r="BH8" s="66"/>
      <c r="BI8" s="66"/>
      <c r="BJ8" s="66"/>
      <c r="BK8" s="66"/>
      <c r="BL8" s="66"/>
      <c r="BM8" s="66"/>
      <c r="BN8" s="66"/>
      <c r="BO8" s="66"/>
      <c r="BP8" s="66"/>
      <c r="BQ8" s="66"/>
      <c r="BR8" s="66"/>
      <c r="BS8" s="66"/>
      <c r="BT8" s="66"/>
      <c r="BU8" s="66"/>
      <c r="BV8" s="66"/>
      <c r="BW8" s="66"/>
      <c r="BX8" s="66"/>
      <c r="BY8" s="66"/>
      <c r="BZ8" s="66"/>
      <c r="CA8" s="66"/>
      <c r="CB8" s="66"/>
      <c r="CC8" s="66"/>
      <c r="CD8" s="66"/>
      <c r="CE8" s="66"/>
      <c r="CF8" s="66"/>
      <c r="CG8" s="66"/>
      <c r="CH8" s="66"/>
    </row>
    <row r="9" spans="1:86" x14ac:dyDescent="0.35">
      <c r="A9" s="184"/>
      <c r="B9" s="184"/>
      <c r="C9" s="184"/>
      <c r="D9" s="184"/>
      <c r="E9" s="184"/>
      <c r="F9" s="184"/>
      <c r="G9" s="66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  <c r="V9" s="64"/>
      <c r="W9" s="64"/>
      <c r="X9" s="64"/>
      <c r="Y9" s="64"/>
      <c r="Z9" s="66"/>
      <c r="AA9" s="66"/>
      <c r="AB9" s="66"/>
      <c r="AC9" s="66"/>
      <c r="AD9" s="66"/>
      <c r="AE9" s="66"/>
      <c r="AF9" s="66"/>
      <c r="AG9" s="66"/>
      <c r="AH9" s="66"/>
      <c r="AI9" s="66"/>
      <c r="AJ9" s="66"/>
      <c r="AK9" s="66"/>
      <c r="AL9" s="66"/>
      <c r="AM9" s="66"/>
      <c r="AN9" s="66"/>
      <c r="AO9" s="66"/>
      <c r="AP9" s="66"/>
      <c r="AQ9" s="66"/>
      <c r="AR9" s="66"/>
      <c r="AS9" s="66"/>
      <c r="AT9" s="66"/>
      <c r="AU9" s="66"/>
      <c r="AV9" s="66"/>
      <c r="AW9" s="66"/>
      <c r="AX9" s="66"/>
      <c r="AY9" s="66"/>
      <c r="AZ9" s="66"/>
      <c r="BA9" s="66"/>
      <c r="BB9" s="66"/>
      <c r="BC9" s="66"/>
      <c r="BD9" s="66"/>
      <c r="BE9" s="66"/>
      <c r="BF9" s="66"/>
      <c r="BG9" s="66"/>
      <c r="BH9" s="66"/>
      <c r="BI9" s="66"/>
      <c r="BJ9" s="66"/>
      <c r="BK9" s="66"/>
      <c r="BL9" s="66"/>
      <c r="BM9" s="66"/>
      <c r="BN9" s="66"/>
      <c r="BO9" s="66"/>
      <c r="BP9" s="66"/>
      <c r="BQ9" s="66"/>
      <c r="BR9" s="66"/>
      <c r="BS9" s="66"/>
      <c r="BT9" s="66"/>
      <c r="BU9" s="66"/>
      <c r="BV9" s="66"/>
      <c r="BW9" s="66"/>
      <c r="BX9" s="66"/>
      <c r="BY9" s="66"/>
      <c r="BZ9" s="66"/>
      <c r="CA9" s="66"/>
      <c r="CB9" s="66"/>
      <c r="CC9" s="66"/>
      <c r="CD9" s="66"/>
      <c r="CE9" s="66"/>
      <c r="CF9" s="66"/>
      <c r="CG9" s="66"/>
      <c r="CH9" s="66"/>
    </row>
    <row r="10" spans="1:86" ht="23.5" x14ac:dyDescent="0.35">
      <c r="A10" s="63"/>
      <c r="B10" s="64"/>
      <c r="C10" s="64"/>
      <c r="D10" s="64"/>
      <c r="E10" s="64"/>
      <c r="F10" s="66"/>
      <c r="G10" s="66"/>
      <c r="H10" s="64"/>
      <c r="I10" s="64"/>
      <c r="J10" s="64"/>
      <c r="K10" s="64"/>
      <c r="L10" s="64"/>
      <c r="M10" s="64"/>
      <c r="N10" s="64"/>
      <c r="O10" s="64"/>
      <c r="P10" s="64"/>
      <c r="Q10" s="64"/>
      <c r="R10" s="64"/>
      <c r="S10" s="64"/>
      <c r="T10" s="64"/>
      <c r="U10" s="64"/>
      <c r="V10" s="64"/>
      <c r="W10" s="64"/>
      <c r="X10" s="64"/>
      <c r="Y10" s="64"/>
      <c r="Z10" s="66"/>
      <c r="AA10" s="66"/>
      <c r="AB10" s="66"/>
      <c r="AC10" s="66"/>
      <c r="AD10" s="66"/>
      <c r="AE10" s="66"/>
      <c r="AF10" s="66"/>
      <c r="AG10" s="66"/>
      <c r="AH10" s="66"/>
      <c r="AI10" s="66"/>
      <c r="AJ10" s="66"/>
      <c r="AK10" s="66"/>
      <c r="AL10" s="66"/>
      <c r="AM10" s="66"/>
      <c r="AN10" s="66"/>
      <c r="AO10" s="66"/>
      <c r="AP10" s="66"/>
      <c r="AQ10" s="66"/>
      <c r="AR10" s="66"/>
      <c r="AS10" s="66"/>
      <c r="AT10" s="66"/>
      <c r="AU10" s="66"/>
      <c r="AV10" s="66"/>
      <c r="AW10" s="66"/>
      <c r="AX10" s="66"/>
      <c r="AY10" s="66"/>
      <c r="AZ10" s="66"/>
      <c r="BA10" s="66"/>
      <c r="BB10" s="66"/>
      <c r="BC10" s="66"/>
      <c r="BD10" s="66"/>
      <c r="BE10" s="66"/>
      <c r="BF10" s="66"/>
      <c r="BG10" s="66"/>
      <c r="BH10" s="66"/>
      <c r="BI10" s="66"/>
      <c r="BJ10" s="66"/>
      <c r="BK10" s="66"/>
      <c r="BL10" s="66"/>
      <c r="BM10" s="66"/>
      <c r="BN10" s="66"/>
      <c r="BO10" s="66"/>
      <c r="BP10" s="66"/>
      <c r="BQ10" s="66"/>
      <c r="BR10" s="66"/>
      <c r="BS10" s="66"/>
      <c r="BT10" s="66"/>
      <c r="BU10" s="66"/>
      <c r="BV10" s="66"/>
      <c r="BW10" s="66"/>
      <c r="BX10" s="66"/>
      <c r="BY10" s="66"/>
      <c r="BZ10" s="66"/>
      <c r="CA10" s="66"/>
      <c r="CB10" s="66"/>
      <c r="CC10" s="66"/>
      <c r="CD10" s="66"/>
      <c r="CE10" s="66"/>
      <c r="CF10" s="66"/>
      <c r="CG10" s="66"/>
      <c r="CH10" s="66"/>
    </row>
    <row r="11" spans="1:86" ht="15.5" x14ac:dyDescent="0.35">
      <c r="A11" s="1"/>
      <c r="B11" s="61" t="s">
        <v>83</v>
      </c>
      <c r="C11" s="1"/>
      <c r="D11" s="1"/>
      <c r="E11" s="1"/>
      <c r="F11" s="1"/>
      <c r="G11" s="64"/>
      <c r="H11" s="64"/>
      <c r="I11" s="64"/>
      <c r="J11" s="64"/>
      <c r="K11" s="64"/>
      <c r="L11" s="64"/>
      <c r="M11" s="64"/>
      <c r="N11" s="64"/>
      <c r="O11" s="64"/>
      <c r="P11" s="64"/>
      <c r="Q11" s="64"/>
      <c r="R11" s="64"/>
      <c r="S11" s="64"/>
      <c r="T11" s="64"/>
      <c r="U11" s="64"/>
      <c r="V11" s="64"/>
      <c r="W11" s="64"/>
      <c r="X11" s="64"/>
      <c r="Y11" s="64"/>
      <c r="Z11" s="64"/>
      <c r="AA11" s="64"/>
      <c r="AB11" s="64"/>
      <c r="AC11" s="64"/>
      <c r="AD11" s="64"/>
      <c r="AE11" s="64"/>
      <c r="AF11" s="64"/>
      <c r="AG11" s="64"/>
      <c r="AH11" s="64"/>
      <c r="AI11" s="64"/>
      <c r="AJ11" s="64"/>
      <c r="AK11" s="64"/>
      <c r="AL11" s="64"/>
      <c r="AM11" s="64"/>
      <c r="AN11" s="64"/>
      <c r="AO11" s="64"/>
      <c r="AP11" s="64"/>
      <c r="AQ11" s="64"/>
      <c r="AR11" s="64"/>
      <c r="AS11" s="64"/>
      <c r="AT11" s="64"/>
      <c r="AU11" s="64"/>
      <c r="AV11" s="64"/>
      <c r="AW11" s="64"/>
      <c r="AX11" s="64"/>
      <c r="AY11" s="64"/>
      <c r="AZ11" s="64"/>
      <c r="BA11" s="64"/>
      <c r="BB11" s="64"/>
      <c r="BC11" s="64"/>
      <c r="BD11" s="64"/>
      <c r="BE11" s="64"/>
      <c r="BF11" s="64"/>
      <c r="BG11" s="64"/>
      <c r="BH11" s="64"/>
      <c r="BI11" s="64"/>
      <c r="BJ11" s="64"/>
      <c r="BK11" s="64"/>
      <c r="BL11" s="64"/>
      <c r="BM11" s="64"/>
      <c r="BN11" s="64"/>
      <c r="BO11" s="64"/>
      <c r="BP11" s="64"/>
      <c r="BQ11" s="64"/>
      <c r="BR11" s="64"/>
      <c r="BS11" s="64"/>
      <c r="BT11" s="64"/>
      <c r="BU11" s="64"/>
      <c r="BV11" s="64"/>
      <c r="BW11" s="64"/>
      <c r="BX11" s="64"/>
      <c r="BY11" s="64"/>
      <c r="BZ11" s="64"/>
      <c r="CA11" s="64"/>
      <c r="CB11" s="64"/>
      <c r="CC11" s="64"/>
      <c r="CD11" s="64"/>
      <c r="CE11" s="64"/>
      <c r="CF11" s="64"/>
      <c r="CG11" s="64"/>
      <c r="CH11" s="64"/>
    </row>
    <row r="12" spans="1:86" ht="39.5" x14ac:dyDescent="0.35">
      <c r="A12" s="1"/>
      <c r="B12" s="102" t="s">
        <v>84</v>
      </c>
      <c r="C12" s="102" t="s">
        <v>85</v>
      </c>
      <c r="D12" s="102" t="s">
        <v>86</v>
      </c>
      <c r="E12" s="102" t="s">
        <v>87</v>
      </c>
      <c r="F12" s="1"/>
      <c r="G12" s="115" t="s">
        <v>88</v>
      </c>
      <c r="H12" s="115" t="s">
        <v>89</v>
      </c>
      <c r="I12" s="115" t="s">
        <v>90</v>
      </c>
      <c r="J12" s="115"/>
      <c r="K12" s="115"/>
      <c r="L12" s="115"/>
      <c r="M12" s="115"/>
      <c r="N12" s="115"/>
      <c r="O12" s="115"/>
      <c r="P12" s="115"/>
      <c r="Q12" s="115"/>
      <c r="R12" s="115"/>
      <c r="S12" s="115"/>
      <c r="T12" s="115"/>
      <c r="U12" s="115"/>
      <c r="V12" s="115"/>
      <c r="W12" s="115"/>
      <c r="X12" s="115"/>
      <c r="Y12" s="115"/>
      <c r="Z12" s="64"/>
      <c r="AA12" s="64"/>
      <c r="AB12" s="64"/>
      <c r="AC12" s="64"/>
      <c r="AD12" s="64"/>
      <c r="AE12" s="64"/>
      <c r="AF12" s="64"/>
      <c r="AG12" s="64"/>
      <c r="AH12" s="64"/>
      <c r="AI12" s="64"/>
      <c r="AJ12" s="64"/>
      <c r="AK12" s="64"/>
      <c r="AL12" s="64"/>
      <c r="AM12" s="64"/>
      <c r="AN12" s="64"/>
      <c r="AO12" s="64"/>
      <c r="AP12" s="64"/>
      <c r="AQ12" s="64"/>
      <c r="AR12" s="64"/>
      <c r="AS12" s="64"/>
      <c r="AT12" s="64"/>
      <c r="AU12" s="64"/>
      <c r="AV12" s="64"/>
      <c r="AW12" s="64"/>
      <c r="AX12" s="64"/>
      <c r="AY12" s="64"/>
      <c r="AZ12" s="64"/>
      <c r="BA12" s="64"/>
      <c r="BB12" s="64"/>
      <c r="BC12" s="64"/>
      <c r="BD12" s="64"/>
      <c r="BE12" s="64"/>
      <c r="BF12" s="64"/>
      <c r="BG12" s="64"/>
      <c r="BH12" s="64"/>
      <c r="BI12" s="64"/>
      <c r="BJ12" s="64"/>
      <c r="BK12" s="64"/>
      <c r="BL12" s="64"/>
      <c r="BM12" s="64"/>
      <c r="BN12" s="64"/>
      <c r="BO12" s="64"/>
      <c r="BP12" s="64"/>
      <c r="BQ12" s="64"/>
      <c r="BR12" s="64"/>
      <c r="BS12" s="64"/>
      <c r="BT12" s="64"/>
      <c r="BU12" s="64"/>
      <c r="BV12" s="64"/>
      <c r="BW12" s="64"/>
      <c r="BX12" s="64"/>
      <c r="BY12" s="64"/>
      <c r="BZ12" s="64"/>
      <c r="CA12" s="64"/>
      <c r="CB12" s="64"/>
      <c r="CC12" s="64"/>
      <c r="CD12" s="64"/>
      <c r="CE12" s="64"/>
      <c r="CF12" s="64"/>
      <c r="CG12" s="64"/>
      <c r="CH12" s="64"/>
    </row>
    <row r="13" spans="1:86" x14ac:dyDescent="0.35">
      <c r="A13" s="60"/>
      <c r="B13" s="105" t="s">
        <v>91</v>
      </c>
      <c r="C13" s="107"/>
      <c r="D13" s="106"/>
      <c r="E13" s="106"/>
      <c r="F13" s="1"/>
      <c r="G13" s="64"/>
      <c r="H13" s="117">
        <f>C13</f>
        <v>0</v>
      </c>
      <c r="I13" s="64"/>
      <c r="J13" s="64"/>
      <c r="K13" s="64"/>
      <c r="L13" s="64"/>
      <c r="M13" s="64"/>
      <c r="N13" s="64"/>
      <c r="O13" s="64"/>
      <c r="P13" s="64"/>
      <c r="Q13" s="64"/>
      <c r="R13" s="64"/>
      <c r="S13" s="64"/>
      <c r="T13" s="64"/>
      <c r="U13" s="64"/>
      <c r="V13" s="64"/>
      <c r="W13" s="64"/>
      <c r="X13" s="64"/>
      <c r="Y13" s="64"/>
      <c r="Z13" s="64"/>
      <c r="AA13" s="64"/>
      <c r="AB13" s="64"/>
      <c r="AC13" s="64"/>
      <c r="AD13" s="64"/>
      <c r="AE13" s="64"/>
      <c r="AF13" s="64"/>
      <c r="AG13" s="64"/>
      <c r="AH13" s="64"/>
      <c r="AI13" s="64"/>
      <c r="AJ13" s="64"/>
      <c r="AK13" s="64"/>
      <c r="AL13" s="64"/>
      <c r="AM13" s="64"/>
      <c r="AN13" s="64"/>
      <c r="AO13" s="64"/>
      <c r="AP13" s="64"/>
      <c r="AQ13" s="64"/>
      <c r="AR13" s="64"/>
      <c r="AS13" s="64"/>
      <c r="AT13" s="64"/>
      <c r="AU13" s="64"/>
      <c r="AV13" s="64"/>
      <c r="AW13" s="64"/>
      <c r="AX13" s="64"/>
      <c r="AY13" s="64"/>
      <c r="AZ13" s="64"/>
      <c r="BA13" s="64"/>
      <c r="BB13" s="64"/>
      <c r="BC13" s="64"/>
      <c r="BD13" s="64"/>
      <c r="BE13" s="64"/>
      <c r="BF13" s="64"/>
      <c r="BG13" s="64"/>
      <c r="BH13" s="64"/>
      <c r="BI13" s="64"/>
      <c r="BJ13" s="64"/>
      <c r="BK13" s="64"/>
      <c r="BL13" s="64"/>
      <c r="BM13" s="64"/>
      <c r="BN13" s="64"/>
      <c r="BO13" s="64"/>
      <c r="BP13" s="64"/>
      <c r="BQ13" s="64"/>
      <c r="BR13" s="64"/>
      <c r="BS13" s="64"/>
      <c r="BT13" s="64"/>
      <c r="BU13" s="64"/>
      <c r="BV13" s="64"/>
      <c r="BW13" s="64"/>
      <c r="BX13" s="64"/>
      <c r="BY13" s="64"/>
      <c r="BZ13" s="64"/>
      <c r="CA13" s="64"/>
      <c r="CB13" s="64"/>
      <c r="CC13" s="64"/>
      <c r="CD13" s="64"/>
      <c r="CE13" s="64"/>
      <c r="CF13" s="64"/>
      <c r="CG13" s="64"/>
      <c r="CH13" s="64"/>
    </row>
    <row r="14" spans="1:86" x14ac:dyDescent="0.35">
      <c r="A14" s="60"/>
      <c r="B14" s="105" t="s">
        <v>265</v>
      </c>
      <c r="C14" s="114"/>
      <c r="D14" s="106"/>
      <c r="E14" s="106"/>
      <c r="F14" s="1"/>
      <c r="G14" s="64"/>
      <c r="H14" s="122">
        <f>C14</f>
        <v>0</v>
      </c>
      <c r="I14" s="64"/>
      <c r="J14" s="64"/>
      <c r="K14" s="64"/>
      <c r="L14" s="64"/>
      <c r="M14" s="64"/>
      <c r="N14" s="64"/>
      <c r="O14" s="64"/>
      <c r="P14" s="166"/>
      <c r="Q14" s="166"/>
      <c r="R14" s="166"/>
      <c r="S14" s="166"/>
      <c r="T14" s="166"/>
      <c r="U14" s="166"/>
      <c r="V14" s="64"/>
      <c r="W14" s="64"/>
      <c r="X14" s="64"/>
      <c r="Y14" s="64"/>
      <c r="Z14" s="64"/>
      <c r="AA14" s="64"/>
      <c r="AB14" s="64"/>
      <c r="AC14" s="64"/>
      <c r="AD14" s="64"/>
      <c r="AE14" s="64"/>
      <c r="AF14" s="64"/>
      <c r="AG14" s="64"/>
      <c r="AH14" s="64"/>
      <c r="AI14" s="64"/>
      <c r="AJ14" s="64"/>
      <c r="AK14" s="64"/>
      <c r="AL14" s="64"/>
      <c r="AM14" s="64"/>
      <c r="AN14" s="64"/>
      <c r="AO14" s="64"/>
      <c r="AP14" s="64"/>
      <c r="AQ14" s="64"/>
      <c r="AR14" s="64"/>
      <c r="AS14" s="64"/>
      <c r="AT14" s="64"/>
      <c r="AU14" s="64"/>
      <c r="AV14" s="64"/>
      <c r="AW14" s="64"/>
      <c r="AX14" s="64"/>
      <c r="AY14" s="64"/>
      <c r="AZ14" s="64"/>
      <c r="BA14" s="64"/>
      <c r="BB14" s="64"/>
      <c r="BC14" s="64"/>
      <c r="BD14" s="64"/>
      <c r="BE14" s="64"/>
      <c r="BF14" s="64"/>
      <c r="BG14" s="64"/>
      <c r="BH14" s="64"/>
      <c r="BI14" s="64"/>
      <c r="BJ14" s="64"/>
      <c r="BK14" s="64"/>
      <c r="BL14" s="64"/>
      <c r="BM14" s="64"/>
      <c r="BN14" s="64"/>
      <c r="BO14" s="64"/>
      <c r="BP14" s="64"/>
      <c r="BQ14" s="64"/>
      <c r="BR14" s="64"/>
      <c r="BS14" s="64"/>
      <c r="BT14" s="64"/>
      <c r="BU14" s="64"/>
      <c r="BV14" s="64"/>
      <c r="BW14" s="64"/>
      <c r="BX14" s="64"/>
      <c r="BY14" s="64"/>
      <c r="BZ14" s="64"/>
      <c r="CA14" s="64"/>
      <c r="CB14" s="64"/>
      <c r="CC14" s="64"/>
      <c r="CD14" s="64"/>
      <c r="CE14" s="64"/>
      <c r="CF14" s="64"/>
      <c r="CG14" s="64"/>
      <c r="CH14" s="64"/>
    </row>
    <row r="15" spans="1:86" x14ac:dyDescent="0.35">
      <c r="A15" s="60"/>
      <c r="B15" s="105" t="s">
        <v>266</v>
      </c>
      <c r="C15" s="114"/>
      <c r="D15" s="106"/>
      <c r="E15" s="106"/>
      <c r="F15" s="1"/>
      <c r="G15" s="64"/>
      <c r="H15" s="122">
        <f>C15</f>
        <v>0</v>
      </c>
      <c r="I15" s="64"/>
      <c r="J15" s="64"/>
      <c r="K15" s="64"/>
      <c r="L15" s="64"/>
      <c r="M15" s="64"/>
      <c r="N15" s="64"/>
      <c r="O15" s="64"/>
      <c r="P15" s="166"/>
      <c r="Q15" s="166"/>
      <c r="R15" s="166"/>
      <c r="S15" s="166"/>
      <c r="T15" s="166"/>
      <c r="U15" s="166"/>
      <c r="V15" s="64"/>
      <c r="W15" s="64"/>
      <c r="X15" s="64"/>
      <c r="Y15" s="64"/>
      <c r="Z15" s="64"/>
      <c r="AA15" s="64"/>
      <c r="AB15" s="64"/>
      <c r="AC15" s="64"/>
      <c r="AD15" s="64"/>
      <c r="AE15" s="64"/>
      <c r="AF15" s="64"/>
      <c r="AG15" s="64"/>
      <c r="AH15" s="64"/>
      <c r="AI15" s="64"/>
      <c r="AJ15" s="64"/>
      <c r="AK15" s="64"/>
      <c r="AL15" s="64"/>
      <c r="AM15" s="64"/>
      <c r="AN15" s="64"/>
      <c r="AO15" s="64"/>
      <c r="AP15" s="64"/>
      <c r="AQ15" s="64"/>
      <c r="AR15" s="64"/>
      <c r="AS15" s="64"/>
      <c r="AT15" s="64"/>
      <c r="AU15" s="64"/>
      <c r="AV15" s="64"/>
      <c r="AW15" s="64"/>
      <c r="AX15" s="64"/>
      <c r="AY15" s="64"/>
      <c r="AZ15" s="64"/>
      <c r="BA15" s="64"/>
      <c r="BB15" s="64"/>
      <c r="BC15" s="64"/>
      <c r="BD15" s="64"/>
      <c r="BE15" s="64"/>
      <c r="BF15" s="64"/>
      <c r="BG15" s="64"/>
      <c r="BH15" s="64"/>
      <c r="BI15" s="64"/>
      <c r="BJ15" s="64"/>
      <c r="BK15" s="64"/>
      <c r="BL15" s="64"/>
      <c r="BM15" s="64"/>
      <c r="BN15" s="64"/>
      <c r="BO15" s="64"/>
      <c r="BP15" s="64"/>
      <c r="BQ15" s="64"/>
      <c r="BR15" s="64"/>
      <c r="BS15" s="64"/>
      <c r="BT15" s="64"/>
      <c r="BU15" s="64"/>
      <c r="BV15" s="64"/>
      <c r="BW15" s="64"/>
      <c r="BX15" s="64"/>
      <c r="BY15" s="64"/>
      <c r="BZ15" s="64"/>
      <c r="CA15" s="64"/>
      <c r="CB15" s="64"/>
      <c r="CC15" s="64"/>
      <c r="CD15" s="64"/>
      <c r="CE15" s="64"/>
      <c r="CF15" s="64"/>
      <c r="CG15" s="64"/>
      <c r="CH15" s="64"/>
    </row>
    <row r="16" spans="1:86" x14ac:dyDescent="0.35">
      <c r="A16" s="60"/>
      <c r="B16" s="105" t="s">
        <v>267</v>
      </c>
      <c r="C16" s="146"/>
      <c r="D16" s="141" t="s">
        <v>94</v>
      </c>
      <c r="E16" s="142">
        <f>IF(D16="Yes",G16," ")</f>
        <v>11.5</v>
      </c>
      <c r="F16" s="1"/>
      <c r="G16" s="118">
        <f>Assumptions!$D$111</f>
        <v>11.5</v>
      </c>
      <c r="H16" s="118">
        <f>IF(D16="Yes",E16,C16)</f>
        <v>11.5</v>
      </c>
      <c r="I16" s="166">
        <f>IF(AND(D16="No",ISBLANK(C16)),1,IF(D16="Yes",IF(E16=0,1,0),0))</f>
        <v>0</v>
      </c>
      <c r="J16" s="166"/>
      <c r="K16" s="166"/>
      <c r="L16" s="166"/>
      <c r="M16" s="166"/>
      <c r="N16" s="166"/>
      <c r="O16" s="166"/>
      <c r="P16" s="166"/>
      <c r="Q16" s="166"/>
      <c r="R16" s="166"/>
      <c r="S16" s="166"/>
      <c r="T16" s="166"/>
      <c r="U16" s="166"/>
      <c r="V16" s="166"/>
      <c r="W16" s="166"/>
      <c r="X16" s="166"/>
      <c r="Y16" s="166"/>
      <c r="Z16" s="64"/>
      <c r="AA16" s="64"/>
      <c r="AB16" s="64"/>
      <c r="AC16" s="64"/>
      <c r="AD16" s="64"/>
      <c r="AE16" s="64"/>
      <c r="AF16" s="64"/>
      <c r="AG16" s="64"/>
      <c r="AH16" s="64"/>
      <c r="AI16" s="64"/>
      <c r="AJ16" s="64"/>
      <c r="AK16" s="64"/>
      <c r="AL16" s="64"/>
      <c r="AM16" s="64"/>
      <c r="AN16" s="64"/>
      <c r="AO16" s="64"/>
      <c r="AP16" s="64"/>
      <c r="AQ16" s="64"/>
      <c r="AR16" s="64"/>
      <c r="AS16" s="64"/>
      <c r="AT16" s="64"/>
      <c r="AU16" s="64"/>
      <c r="AV16" s="64"/>
      <c r="AW16" s="64"/>
      <c r="AX16" s="64"/>
      <c r="AY16" s="64"/>
      <c r="AZ16" s="64"/>
      <c r="BA16" s="64"/>
      <c r="BB16" s="64"/>
      <c r="BC16" s="64"/>
      <c r="BD16" s="64"/>
      <c r="BE16" s="64"/>
      <c r="BF16" s="64"/>
      <c r="BG16" s="64"/>
      <c r="BH16" s="64"/>
      <c r="BI16" s="64"/>
      <c r="BJ16" s="64"/>
      <c r="BK16" s="64"/>
      <c r="BL16" s="64"/>
      <c r="BM16" s="64"/>
      <c r="BN16" s="64"/>
      <c r="BO16" s="64"/>
      <c r="BP16" s="64"/>
      <c r="BQ16" s="64"/>
      <c r="BR16" s="64"/>
      <c r="BS16" s="64"/>
      <c r="BT16" s="64"/>
      <c r="BU16" s="64"/>
      <c r="BV16" s="64"/>
      <c r="BW16" s="64"/>
      <c r="BX16" s="64"/>
      <c r="BY16" s="64"/>
      <c r="BZ16" s="64"/>
      <c r="CA16" s="64"/>
      <c r="CB16" s="64"/>
      <c r="CC16" s="64"/>
      <c r="CD16" s="64"/>
      <c r="CE16" s="64"/>
      <c r="CF16" s="64"/>
      <c r="CG16" s="64"/>
      <c r="CH16" s="64"/>
    </row>
    <row r="17" spans="1:86" x14ac:dyDescent="0.35">
      <c r="A17" s="60"/>
      <c r="B17" s="105" t="s">
        <v>268</v>
      </c>
      <c r="C17" s="146"/>
      <c r="D17" s="141" t="s">
        <v>94</v>
      </c>
      <c r="E17" s="142">
        <f>IF(D17="Yes",G17," ")</f>
        <v>11.5</v>
      </c>
      <c r="F17" s="1"/>
      <c r="G17" s="118">
        <f>Assumptions!$D$111</f>
        <v>11.5</v>
      </c>
      <c r="H17" s="118">
        <f>IF(D17="Yes",E17,C17)</f>
        <v>11.5</v>
      </c>
      <c r="I17" s="166">
        <f>IF(AND(D17="No",ISBLANK(C17)),1,IF(D17="Yes",IF(E17=0,1,0),0))</f>
        <v>0</v>
      </c>
      <c r="J17" s="166"/>
      <c r="K17" s="166"/>
      <c r="L17" s="166"/>
      <c r="M17" s="166"/>
      <c r="N17" s="166"/>
      <c r="O17" s="166"/>
      <c r="P17" s="166"/>
      <c r="Q17" s="166"/>
      <c r="R17" s="166"/>
      <c r="S17" s="166"/>
      <c r="T17" s="166"/>
      <c r="U17" s="166"/>
      <c r="V17" s="166"/>
      <c r="W17" s="166"/>
      <c r="X17" s="166"/>
      <c r="Y17" s="166"/>
      <c r="Z17" s="64"/>
      <c r="AA17" s="64"/>
      <c r="AB17" s="64"/>
      <c r="AC17" s="64"/>
      <c r="AD17" s="64"/>
      <c r="AE17" s="64"/>
      <c r="AF17" s="64"/>
      <c r="AG17" s="64"/>
      <c r="AH17" s="64"/>
      <c r="AI17" s="64"/>
      <c r="AJ17" s="64"/>
      <c r="AK17" s="64"/>
      <c r="AL17" s="64"/>
      <c r="AM17" s="64"/>
      <c r="AN17" s="64"/>
      <c r="AO17" s="64"/>
      <c r="AP17" s="64"/>
      <c r="AQ17" s="64"/>
      <c r="AR17" s="64"/>
      <c r="AS17" s="64"/>
      <c r="AT17" s="64"/>
      <c r="AU17" s="64"/>
      <c r="AV17" s="64"/>
      <c r="AW17" s="64"/>
      <c r="AX17" s="64"/>
      <c r="AY17" s="64"/>
      <c r="AZ17" s="64"/>
      <c r="BA17" s="64"/>
      <c r="BB17" s="64"/>
      <c r="BC17" s="64"/>
      <c r="BD17" s="64"/>
      <c r="BE17" s="64"/>
      <c r="BF17" s="64"/>
      <c r="BG17" s="64"/>
      <c r="BH17" s="64"/>
      <c r="BI17" s="64"/>
      <c r="BJ17" s="64"/>
      <c r="BK17" s="64"/>
      <c r="BL17" s="64"/>
      <c r="BM17" s="64"/>
      <c r="BN17" s="64"/>
      <c r="BO17" s="64"/>
      <c r="BP17" s="64"/>
      <c r="BQ17" s="64"/>
      <c r="BR17" s="64"/>
      <c r="BS17" s="64"/>
      <c r="BT17" s="64"/>
      <c r="BU17" s="64"/>
      <c r="BV17" s="64"/>
      <c r="BW17" s="64"/>
      <c r="BX17" s="64"/>
      <c r="BY17" s="64"/>
      <c r="BZ17" s="64"/>
      <c r="CA17" s="64"/>
      <c r="CB17" s="64"/>
      <c r="CC17" s="64"/>
      <c r="CD17" s="64"/>
      <c r="CE17" s="64"/>
      <c r="CF17" s="64"/>
      <c r="CG17" s="64"/>
      <c r="CH17" s="64"/>
    </row>
    <row r="18" spans="1:86" x14ac:dyDescent="0.35">
      <c r="A18" s="60"/>
      <c r="B18" s="105" t="s">
        <v>182</v>
      </c>
      <c r="C18" s="144"/>
      <c r="D18" s="110" t="s">
        <v>94</v>
      </c>
      <c r="E18" s="145">
        <f t="shared" ref="E18" si="0">IF(D18="Yes",G18," ")</f>
        <v>3.1E-2</v>
      </c>
      <c r="F18" s="1"/>
      <c r="G18" s="135">
        <f>Assumptions!$D$61</f>
        <v>3.1E-2</v>
      </c>
      <c r="H18" s="135">
        <f t="shared" ref="H18" si="1">IF(D18="Yes",E18,C18)</f>
        <v>3.1E-2</v>
      </c>
      <c r="I18" s="166">
        <f t="shared" ref="I18" si="2">IF(D18="Yes",IF(E18=0,1,0),IF(AND(D18="No",C18=""),1,0))</f>
        <v>0</v>
      </c>
      <c r="J18" s="166"/>
      <c r="K18" s="166"/>
      <c r="L18" s="166"/>
      <c r="M18" s="166"/>
      <c r="N18" s="166"/>
      <c r="O18" s="166"/>
      <c r="P18" s="166"/>
      <c r="Q18" s="166"/>
      <c r="R18" s="166"/>
      <c r="S18" s="166"/>
      <c r="T18" s="166"/>
      <c r="U18" s="166"/>
      <c r="V18" s="166"/>
      <c r="W18" s="166"/>
      <c r="X18" s="166"/>
      <c r="Y18" s="166"/>
      <c r="Z18" s="64"/>
      <c r="AA18" s="64"/>
      <c r="AB18" s="64"/>
      <c r="AC18" s="64"/>
      <c r="AD18" s="64"/>
      <c r="AE18" s="64"/>
      <c r="AF18" s="64"/>
      <c r="AG18" s="64"/>
      <c r="AH18" s="64"/>
      <c r="AI18" s="64"/>
      <c r="AJ18" s="64"/>
      <c r="AK18" s="64"/>
      <c r="AL18" s="64"/>
      <c r="AM18" s="64"/>
      <c r="AN18" s="64"/>
      <c r="AO18" s="64"/>
      <c r="AP18" s="64"/>
      <c r="AQ18" s="64"/>
      <c r="AR18" s="64"/>
      <c r="AS18" s="64"/>
      <c r="AT18" s="64"/>
      <c r="AU18" s="64"/>
      <c r="AV18" s="64"/>
      <c r="AW18" s="64"/>
      <c r="AX18" s="64"/>
      <c r="AY18" s="64"/>
      <c r="AZ18" s="64"/>
      <c r="BA18" s="64"/>
      <c r="BB18" s="64"/>
      <c r="BC18" s="64"/>
      <c r="BD18" s="64"/>
      <c r="BE18" s="64"/>
      <c r="BF18" s="64"/>
      <c r="BG18" s="64"/>
      <c r="BH18" s="64"/>
      <c r="BI18" s="64"/>
      <c r="BJ18" s="64"/>
      <c r="BK18" s="64"/>
      <c r="BL18" s="64"/>
      <c r="BM18" s="64"/>
      <c r="BN18" s="64"/>
      <c r="BO18" s="64"/>
      <c r="BP18" s="64"/>
      <c r="BQ18" s="64"/>
      <c r="BR18" s="64"/>
      <c r="BS18" s="64"/>
      <c r="BT18" s="64"/>
      <c r="BU18" s="64"/>
      <c r="BV18" s="64"/>
      <c r="BW18" s="64"/>
      <c r="BX18" s="64"/>
      <c r="BY18" s="64"/>
      <c r="BZ18" s="64"/>
      <c r="CA18" s="64"/>
      <c r="CB18" s="64"/>
      <c r="CC18" s="64"/>
      <c r="CD18" s="64"/>
      <c r="CE18" s="64"/>
      <c r="CF18" s="64"/>
      <c r="CG18" s="64"/>
      <c r="CH18" s="64"/>
    </row>
    <row r="19" spans="1:86" x14ac:dyDescent="0.35">
      <c r="A19" s="60"/>
      <c r="B19" s="100"/>
      <c r="C19" s="101"/>
      <c r="D19" s="106"/>
      <c r="E19" s="106"/>
      <c r="F19" s="1"/>
      <c r="G19" s="64"/>
      <c r="H19" s="117"/>
      <c r="I19" s="64"/>
      <c r="J19" s="64"/>
      <c r="K19" s="64"/>
      <c r="L19" s="64"/>
      <c r="M19" s="64"/>
      <c r="N19" s="64"/>
      <c r="O19" s="64"/>
      <c r="P19" s="166"/>
      <c r="Q19" s="166"/>
      <c r="R19" s="166"/>
      <c r="S19" s="166"/>
      <c r="T19" s="166"/>
      <c r="U19" s="166"/>
      <c r="V19" s="64"/>
      <c r="W19" s="64"/>
      <c r="X19" s="64"/>
      <c r="Y19" s="64"/>
      <c r="Z19" s="64"/>
      <c r="AA19" s="64"/>
      <c r="AB19" s="64"/>
      <c r="AC19" s="64"/>
      <c r="AD19" s="64"/>
      <c r="AE19" s="64"/>
      <c r="AF19" s="64"/>
      <c r="AG19" s="64"/>
      <c r="AH19" s="64"/>
      <c r="AI19" s="64"/>
      <c r="AJ19" s="64"/>
      <c r="AK19" s="64"/>
      <c r="AL19" s="64"/>
      <c r="AM19" s="64"/>
      <c r="AN19" s="64"/>
      <c r="AO19" s="64"/>
      <c r="AP19" s="64"/>
      <c r="AQ19" s="64"/>
      <c r="AR19" s="64"/>
      <c r="AS19" s="64"/>
      <c r="AT19" s="64"/>
      <c r="AU19" s="64"/>
      <c r="AV19" s="64"/>
      <c r="AW19" s="64"/>
      <c r="AX19" s="64"/>
      <c r="AY19" s="64"/>
      <c r="AZ19" s="64"/>
      <c r="BA19" s="64"/>
      <c r="BB19" s="64"/>
      <c r="BC19" s="64"/>
      <c r="BD19" s="64"/>
      <c r="BE19" s="64"/>
      <c r="BF19" s="64"/>
      <c r="BG19" s="64"/>
      <c r="BH19" s="64"/>
      <c r="BI19" s="64"/>
      <c r="BJ19" s="64"/>
      <c r="BK19" s="64"/>
      <c r="BL19" s="64"/>
      <c r="BM19" s="64"/>
      <c r="BN19" s="64"/>
      <c r="BO19" s="64"/>
      <c r="BP19" s="64"/>
      <c r="BQ19" s="64"/>
      <c r="BR19" s="64"/>
      <c r="BS19" s="64"/>
      <c r="BT19" s="64"/>
      <c r="BU19" s="64"/>
      <c r="BV19" s="64"/>
      <c r="BW19" s="64"/>
      <c r="BX19" s="64"/>
      <c r="BY19" s="64"/>
      <c r="BZ19" s="64"/>
      <c r="CA19" s="64"/>
      <c r="CB19" s="64"/>
      <c r="CC19" s="64"/>
      <c r="CD19" s="64"/>
      <c r="CE19" s="64"/>
      <c r="CF19" s="64"/>
      <c r="CG19" s="64"/>
      <c r="CH19" s="64"/>
    </row>
    <row r="20" spans="1:86" x14ac:dyDescent="0.35">
      <c r="A20" s="64"/>
      <c r="B20" s="64"/>
      <c r="C20" s="64"/>
      <c r="D20" s="64"/>
      <c r="E20" s="64"/>
      <c r="F20" s="64"/>
      <c r="G20" s="64"/>
      <c r="H20" s="64"/>
      <c r="I20" s="64"/>
      <c r="J20" s="64"/>
      <c r="K20" s="64"/>
      <c r="L20" s="64"/>
      <c r="M20" s="64"/>
      <c r="N20" s="64"/>
      <c r="O20" s="64"/>
      <c r="P20" s="166"/>
      <c r="Q20" s="166"/>
      <c r="R20" s="166"/>
      <c r="S20" s="166"/>
      <c r="T20" s="166"/>
      <c r="U20" s="166"/>
      <c r="V20" s="64"/>
      <c r="W20" s="64"/>
      <c r="X20" s="64"/>
      <c r="Y20" s="64"/>
      <c r="Z20" s="64"/>
      <c r="AA20" s="64"/>
      <c r="AB20" s="64"/>
      <c r="AC20" s="64"/>
      <c r="AD20" s="64"/>
      <c r="AE20" s="64"/>
      <c r="AF20" s="64"/>
      <c r="AG20" s="64"/>
      <c r="AH20" s="64"/>
      <c r="AI20" s="64"/>
      <c r="AJ20" s="64"/>
      <c r="AK20" s="64"/>
      <c r="AL20" s="64"/>
      <c r="AM20" s="64"/>
      <c r="AN20" s="64"/>
      <c r="AO20" s="64"/>
      <c r="AP20" s="64"/>
      <c r="AQ20" s="64"/>
      <c r="AR20" s="64"/>
      <c r="AS20" s="64"/>
      <c r="AT20" s="64"/>
      <c r="AU20" s="64"/>
      <c r="AV20" s="64"/>
      <c r="AW20" s="64"/>
      <c r="AX20" s="64"/>
      <c r="AY20" s="64"/>
      <c r="AZ20" s="64"/>
      <c r="BA20" s="64"/>
      <c r="BB20" s="64"/>
      <c r="BC20" s="64"/>
      <c r="BD20" s="64"/>
      <c r="BE20" s="64"/>
      <c r="BF20" s="64"/>
      <c r="BG20" s="64"/>
      <c r="BH20" s="64"/>
      <c r="BI20" s="64"/>
      <c r="BJ20" s="64"/>
      <c r="BK20" s="64"/>
      <c r="BL20" s="64"/>
      <c r="BM20" s="64"/>
      <c r="BN20" s="64"/>
      <c r="BO20" s="64"/>
      <c r="BP20" s="64"/>
      <c r="BQ20" s="64"/>
      <c r="BR20" s="64"/>
      <c r="BS20" s="64"/>
      <c r="BT20" s="64"/>
      <c r="BU20" s="64"/>
      <c r="BV20" s="64"/>
      <c r="BW20" s="64"/>
      <c r="BX20" s="64"/>
      <c r="BY20" s="64"/>
      <c r="BZ20" s="64"/>
      <c r="CA20" s="64"/>
      <c r="CB20" s="64"/>
      <c r="CC20" s="64"/>
      <c r="CD20" s="64"/>
      <c r="CE20" s="64"/>
      <c r="CF20" s="64"/>
      <c r="CG20" s="64"/>
      <c r="CH20" s="64"/>
    </row>
    <row r="21" spans="1:86" ht="15.5" x14ac:dyDescent="0.35">
      <c r="A21" s="1"/>
      <c r="B21" s="61" t="s">
        <v>99</v>
      </c>
      <c r="C21" s="1"/>
      <c r="D21" s="1"/>
      <c r="E21" s="1"/>
      <c r="F21" s="1"/>
      <c r="G21" s="64"/>
      <c r="H21" s="64"/>
      <c r="I21" s="64"/>
      <c r="J21" s="64"/>
      <c r="K21" s="64"/>
      <c r="L21" s="64"/>
      <c r="M21" s="64"/>
      <c r="N21" s="64"/>
      <c r="O21" s="64"/>
      <c r="P21" s="64" t="s">
        <v>269</v>
      </c>
      <c r="Q21" s="64"/>
      <c r="R21" s="64"/>
      <c r="S21" s="64"/>
      <c r="T21" s="64"/>
      <c r="U21" s="64"/>
      <c r="V21" s="64"/>
      <c r="W21" s="64"/>
      <c r="X21" s="64"/>
      <c r="Y21" s="64"/>
      <c r="Z21" s="64"/>
      <c r="AA21" s="64"/>
      <c r="AB21" s="64"/>
      <c r="AC21" s="64"/>
      <c r="AD21" s="64"/>
      <c r="AE21" s="64"/>
      <c r="AF21" s="64"/>
      <c r="AG21" s="64"/>
      <c r="AH21" s="64"/>
      <c r="AI21" s="64"/>
      <c r="AJ21" s="64"/>
      <c r="AK21" s="64"/>
      <c r="AL21" s="64"/>
      <c r="AM21" s="64"/>
      <c r="AN21" s="64"/>
      <c r="AO21" s="64"/>
      <c r="AP21" s="64"/>
      <c r="AQ21" s="64"/>
      <c r="AR21" s="64"/>
      <c r="AS21" s="64"/>
      <c r="AT21" s="64"/>
      <c r="AU21" s="64"/>
      <c r="AV21" s="64"/>
      <c r="AW21" s="64"/>
      <c r="AX21" s="64"/>
      <c r="AY21" s="64"/>
      <c r="AZ21" s="64"/>
      <c r="BA21" s="64"/>
      <c r="BB21" s="64"/>
      <c r="BC21" s="64"/>
      <c r="BD21" s="64"/>
      <c r="BE21" s="64"/>
      <c r="BF21" s="64"/>
      <c r="BG21" s="64"/>
      <c r="BH21" s="64"/>
      <c r="BI21" s="64"/>
      <c r="BJ21" s="64"/>
      <c r="BK21" s="64"/>
      <c r="BL21" s="64"/>
      <c r="BM21" s="64"/>
      <c r="BN21" s="64"/>
      <c r="BO21" s="64"/>
      <c r="BP21" s="64"/>
      <c r="BQ21" s="64"/>
      <c r="BR21" s="64"/>
      <c r="BS21" s="64"/>
      <c r="BT21" s="64"/>
      <c r="BU21" s="64"/>
      <c r="BV21" s="64"/>
      <c r="BW21" s="64"/>
      <c r="BX21" s="64"/>
      <c r="BY21" s="64"/>
      <c r="BZ21" s="64"/>
      <c r="CA21" s="64"/>
      <c r="CB21" s="64"/>
      <c r="CC21" s="64"/>
      <c r="CD21" s="64"/>
      <c r="CE21" s="64"/>
      <c r="CF21" s="64"/>
      <c r="CG21" s="64"/>
      <c r="CH21" s="64"/>
    </row>
    <row r="22" spans="1:86" x14ac:dyDescent="0.35">
      <c r="A22" s="1"/>
      <c r="B22" s="102" t="s">
        <v>84</v>
      </c>
      <c r="C22" s="102" t="s">
        <v>85</v>
      </c>
      <c r="D22" s="1"/>
      <c r="E22" s="1"/>
      <c r="F22" s="1"/>
      <c r="G22" s="64"/>
      <c r="H22" s="115"/>
      <c r="I22" s="64"/>
      <c r="J22" s="64"/>
      <c r="K22" s="64"/>
      <c r="L22" s="64"/>
      <c r="M22" s="64"/>
      <c r="N22" s="64"/>
      <c r="O22" s="64"/>
      <c r="P22" s="56" t="s">
        <v>100</v>
      </c>
      <c r="Q22" s="57" t="s">
        <v>150</v>
      </c>
      <c r="R22" s="57" t="s">
        <v>102</v>
      </c>
      <c r="S22" s="57" t="s">
        <v>151</v>
      </c>
      <c r="T22" s="58">
        <v>2018</v>
      </c>
      <c r="U22" s="59">
        <v>2030</v>
      </c>
      <c r="V22" s="59">
        <v>2040</v>
      </c>
      <c r="W22" s="64"/>
      <c r="X22" s="64"/>
      <c r="Y22" s="64"/>
      <c r="Z22" s="64"/>
      <c r="AA22" s="64"/>
      <c r="AB22" s="64"/>
      <c r="AC22" s="64"/>
      <c r="AD22" s="64"/>
      <c r="AE22" s="64"/>
      <c r="AF22" s="64"/>
      <c r="AG22" s="64"/>
      <c r="AH22" s="64"/>
      <c r="AI22" s="64"/>
      <c r="AJ22" s="64"/>
      <c r="AK22" s="64"/>
      <c r="AL22" s="64"/>
      <c r="AM22" s="64"/>
      <c r="AN22" s="64"/>
      <c r="AO22" s="64"/>
      <c r="AP22" s="64"/>
      <c r="AQ22" s="64"/>
      <c r="AR22" s="64"/>
      <c r="AS22" s="64"/>
      <c r="AT22" s="64"/>
      <c r="AU22" s="64"/>
      <c r="AV22" s="64"/>
      <c r="AW22" s="64"/>
      <c r="AX22" s="64"/>
      <c r="AY22" s="64"/>
      <c r="AZ22" s="64"/>
      <c r="BA22" s="64"/>
      <c r="BB22" s="64"/>
      <c r="BC22" s="64"/>
      <c r="BD22" s="64"/>
      <c r="BE22" s="64"/>
      <c r="BF22" s="64"/>
      <c r="BG22" s="64"/>
      <c r="BH22" s="64"/>
      <c r="BI22" s="64"/>
      <c r="BJ22" s="64"/>
      <c r="BK22" s="64"/>
      <c r="BL22" s="64"/>
      <c r="BM22" s="64"/>
      <c r="BN22" s="64"/>
      <c r="BO22" s="64"/>
      <c r="BP22" s="64"/>
      <c r="BQ22" s="64"/>
      <c r="BR22" s="64"/>
      <c r="BS22" s="64"/>
      <c r="BT22" s="64"/>
      <c r="BU22" s="64"/>
      <c r="BV22" s="64"/>
      <c r="BW22" s="64"/>
      <c r="BX22" s="64"/>
      <c r="BY22" s="64"/>
      <c r="BZ22" s="64"/>
      <c r="CA22" s="64"/>
      <c r="CB22" s="64"/>
      <c r="CC22" s="64"/>
      <c r="CD22" s="64"/>
      <c r="CE22" s="64"/>
      <c r="CF22" s="64"/>
      <c r="CG22" s="64"/>
      <c r="CH22" s="64"/>
    </row>
    <row r="23" spans="1:86" x14ac:dyDescent="0.35">
      <c r="A23" s="1"/>
      <c r="B23" s="105" t="s">
        <v>270</v>
      </c>
      <c r="C23" s="108">
        <f>IF($H$13&lt;2030,FORECAST($H$13,T23:U23,$T$22:$U$22),FORECAST($H$13,U23:V23,$U$22:$V$22))</f>
        <v>15300.18306773987</v>
      </c>
      <c r="D23" s="1"/>
      <c r="E23" s="1"/>
      <c r="F23" s="1"/>
      <c r="G23" s="64"/>
      <c r="H23" s="120">
        <f>C23</f>
        <v>15300.18306773987</v>
      </c>
      <c r="I23" s="64"/>
      <c r="J23" s="64"/>
      <c r="K23" s="64"/>
      <c r="L23" s="64"/>
      <c r="M23" s="64"/>
      <c r="N23" s="64"/>
      <c r="O23" s="64"/>
      <c r="P23" s="236" t="s">
        <v>203</v>
      </c>
      <c r="Q23" s="229" t="s">
        <v>106</v>
      </c>
      <c r="R23" s="237">
        <v>35</v>
      </c>
      <c r="S23" s="229" t="s">
        <v>107</v>
      </c>
      <c r="T23" s="238">
        <f t="shared" ref="T23:U27" si="3">($H$18*T33)+((1-$H$18)*T28)</f>
        <v>400.00675918691587</v>
      </c>
      <c r="U23" s="239">
        <f t="shared" si="3"/>
        <v>311.40313396261683</v>
      </c>
      <c r="V23" s="239">
        <f>($H$18*V33)+((1-$H$18)*V28)</f>
        <v>305.91551396261684</v>
      </c>
      <c r="W23" s="64"/>
      <c r="X23" s="64"/>
      <c r="Y23" s="64"/>
      <c r="Z23" s="64"/>
      <c r="AA23" s="64"/>
      <c r="AB23" s="64"/>
      <c r="AC23" s="64"/>
      <c r="AD23" s="64"/>
      <c r="AE23" s="64"/>
      <c r="AF23" s="64"/>
      <c r="AG23" s="64"/>
      <c r="AH23" s="64"/>
      <c r="AI23" s="64"/>
      <c r="AJ23" s="64"/>
      <c r="AK23" s="64"/>
      <c r="AL23" s="64"/>
      <c r="AM23" s="64"/>
      <c r="AN23" s="64"/>
      <c r="AO23" s="64"/>
      <c r="AP23" s="64"/>
      <c r="AQ23" s="64"/>
      <c r="AR23" s="64"/>
      <c r="AS23" s="64"/>
      <c r="AT23" s="64"/>
      <c r="AU23" s="64"/>
      <c r="AV23" s="64"/>
      <c r="AW23" s="64"/>
      <c r="AX23" s="64"/>
      <c r="AY23" s="64"/>
      <c r="AZ23" s="64"/>
      <c r="BA23" s="64"/>
      <c r="BB23" s="64"/>
      <c r="BC23" s="64"/>
      <c r="BD23" s="64"/>
      <c r="BE23" s="64"/>
      <c r="BF23" s="64"/>
      <c r="BG23" s="64"/>
      <c r="BH23" s="64"/>
      <c r="BI23" s="64"/>
      <c r="BJ23" s="64"/>
      <c r="BK23" s="64"/>
      <c r="BL23" s="64"/>
      <c r="BM23" s="64"/>
      <c r="BN23" s="64"/>
      <c r="BO23" s="64"/>
      <c r="BP23" s="64"/>
      <c r="BQ23" s="64"/>
      <c r="BR23" s="64"/>
      <c r="BS23" s="64"/>
      <c r="BT23" s="64"/>
      <c r="BU23" s="64"/>
      <c r="BV23" s="64"/>
      <c r="BW23" s="64"/>
      <c r="BX23" s="64"/>
      <c r="BY23" s="64"/>
      <c r="BZ23" s="64"/>
      <c r="CA23" s="64"/>
      <c r="CB23" s="64"/>
      <c r="CC23" s="64"/>
      <c r="CD23" s="64"/>
      <c r="CE23" s="64"/>
      <c r="CF23" s="64"/>
      <c r="CG23" s="64"/>
      <c r="CH23" s="64"/>
    </row>
    <row r="24" spans="1:86" x14ac:dyDescent="0.35">
      <c r="A24" s="1"/>
      <c r="B24" s="105" t="s">
        <v>271</v>
      </c>
      <c r="C24" s="108">
        <f t="shared" ref="C24:C27" si="4">IF($H$13&lt;2030,FORECAST($H$13,T24:U24,$T$22:$U$22),FORECAST($H$13,U24:V24,$U$22:$V$22))</f>
        <v>247.93529098529592</v>
      </c>
      <c r="D24" s="1"/>
      <c r="E24" s="1"/>
      <c r="F24" s="1"/>
      <c r="G24" s="64"/>
      <c r="H24" s="120">
        <f>C24</f>
        <v>247.93529098529592</v>
      </c>
      <c r="I24" s="64"/>
      <c r="J24" s="64"/>
      <c r="K24" s="64"/>
      <c r="L24" s="64"/>
      <c r="M24" s="64"/>
      <c r="N24" s="64"/>
      <c r="O24" s="64"/>
      <c r="P24" s="85" t="s">
        <v>203</v>
      </c>
      <c r="Q24" s="86" t="s">
        <v>109</v>
      </c>
      <c r="R24" s="87">
        <v>35</v>
      </c>
      <c r="S24" s="86" t="s">
        <v>107</v>
      </c>
      <c r="T24" s="92">
        <f t="shared" si="3"/>
        <v>2.848335912803738</v>
      </c>
      <c r="U24" s="190">
        <f t="shared" si="3"/>
        <v>1.390930828130841</v>
      </c>
      <c r="V24" s="190">
        <f t="shared" ref="V24" si="5">($H$18*V34)+((1-$H$18)*V29)</f>
        <v>1.3876947381308411</v>
      </c>
      <c r="W24" s="64"/>
      <c r="X24" s="64"/>
      <c r="Y24" s="64"/>
      <c r="Z24" s="64"/>
      <c r="AA24" s="64"/>
      <c r="AB24" s="64"/>
      <c r="AC24" s="64"/>
      <c r="AD24" s="64"/>
      <c r="AE24" s="64"/>
      <c r="AF24" s="64"/>
      <c r="AG24" s="64"/>
      <c r="AH24" s="64"/>
      <c r="AI24" s="64"/>
      <c r="AJ24" s="64"/>
      <c r="AK24" s="64"/>
      <c r="AL24" s="64"/>
      <c r="AM24" s="64"/>
      <c r="AN24" s="64"/>
      <c r="AO24" s="64"/>
      <c r="AP24" s="64"/>
      <c r="AQ24" s="64"/>
      <c r="AR24" s="64"/>
      <c r="AS24" s="64"/>
      <c r="AT24" s="64"/>
      <c r="AU24" s="64"/>
      <c r="AV24" s="64"/>
      <c r="AW24" s="64"/>
      <c r="AX24" s="64"/>
      <c r="AY24" s="64"/>
      <c r="AZ24" s="64"/>
      <c r="BA24" s="64"/>
      <c r="BB24" s="64"/>
      <c r="BC24" s="64"/>
      <c r="BD24" s="64"/>
      <c r="BE24" s="64"/>
      <c r="BF24" s="64"/>
      <c r="BG24" s="64"/>
      <c r="BH24" s="64"/>
      <c r="BI24" s="64"/>
      <c r="BJ24" s="64"/>
      <c r="BK24" s="64"/>
      <c r="BL24" s="64"/>
      <c r="BM24" s="64"/>
      <c r="BN24" s="64"/>
      <c r="BO24" s="64"/>
      <c r="BP24" s="64"/>
      <c r="BQ24" s="64"/>
      <c r="BR24" s="64"/>
      <c r="BS24" s="64"/>
      <c r="BT24" s="64"/>
      <c r="BU24" s="64"/>
      <c r="BV24" s="64"/>
      <c r="BW24" s="64"/>
      <c r="BX24" s="64"/>
      <c r="BY24" s="64"/>
      <c r="BZ24" s="64"/>
      <c r="CA24" s="64"/>
      <c r="CB24" s="64"/>
      <c r="CC24" s="64"/>
      <c r="CD24" s="64"/>
      <c r="CE24" s="64"/>
      <c r="CF24" s="64"/>
      <c r="CG24" s="64"/>
      <c r="CH24" s="64"/>
    </row>
    <row r="25" spans="1:86" x14ac:dyDescent="0.35">
      <c r="A25" s="1"/>
      <c r="B25" s="105" t="s">
        <v>272</v>
      </c>
      <c r="C25" s="108">
        <f t="shared" si="4"/>
        <v>1.8244532333593302</v>
      </c>
      <c r="D25" s="1"/>
      <c r="E25" s="1"/>
      <c r="F25" s="1"/>
      <c r="G25" s="64"/>
      <c r="H25" s="120">
        <f>C25</f>
        <v>1.8244532333593302</v>
      </c>
      <c r="I25" s="64"/>
      <c r="J25" s="64"/>
      <c r="K25" s="64"/>
      <c r="L25" s="64"/>
      <c r="M25" s="64"/>
      <c r="N25" s="64"/>
      <c r="O25" s="64"/>
      <c r="P25" s="85" t="s">
        <v>203</v>
      </c>
      <c r="Q25" s="86" t="s">
        <v>111</v>
      </c>
      <c r="R25" s="87">
        <v>35</v>
      </c>
      <c r="S25" s="86" t="s">
        <v>107</v>
      </c>
      <c r="T25" s="92">
        <f t="shared" si="3"/>
        <v>1.403220920775701E-2</v>
      </c>
      <c r="U25" s="190">
        <f t="shared" si="3"/>
        <v>3.2665737816822429E-3</v>
      </c>
      <c r="V25" s="190">
        <f t="shared" ref="V25" si="6">($H$18*V35)+((1-$H$18)*V30)</f>
        <v>2.3605460816822428E-3</v>
      </c>
      <c r="W25" s="64"/>
      <c r="X25" s="64"/>
      <c r="Y25" s="64"/>
      <c r="Z25" s="64"/>
      <c r="AA25" s="64"/>
      <c r="AB25" s="64"/>
      <c r="AC25" s="64"/>
      <c r="AD25" s="64"/>
      <c r="AE25" s="64"/>
      <c r="AF25" s="64"/>
      <c r="AG25" s="64"/>
      <c r="AH25" s="64"/>
      <c r="AI25" s="64"/>
      <c r="AJ25" s="64"/>
      <c r="AK25" s="64"/>
      <c r="AL25" s="64"/>
      <c r="AM25" s="64"/>
      <c r="AN25" s="64"/>
      <c r="AO25" s="64"/>
      <c r="AP25" s="64"/>
      <c r="AQ25" s="64"/>
      <c r="AR25" s="64"/>
      <c r="AS25" s="64"/>
      <c r="AT25" s="64"/>
      <c r="AU25" s="64"/>
      <c r="AV25" s="64"/>
      <c r="AW25" s="64"/>
      <c r="AX25" s="64"/>
      <c r="AY25" s="64"/>
      <c r="AZ25" s="64"/>
      <c r="BA25" s="64"/>
      <c r="BB25" s="64"/>
      <c r="BC25" s="64"/>
      <c r="BD25" s="64"/>
      <c r="BE25" s="64"/>
      <c r="BF25" s="64"/>
      <c r="BG25" s="64"/>
      <c r="BH25" s="64"/>
      <c r="BI25" s="64"/>
      <c r="BJ25" s="64"/>
      <c r="BK25" s="64"/>
      <c r="BL25" s="64"/>
      <c r="BM25" s="64"/>
      <c r="BN25" s="64"/>
      <c r="BO25" s="64"/>
      <c r="BP25" s="64"/>
      <c r="BQ25" s="64"/>
      <c r="BR25" s="64"/>
      <c r="BS25" s="64"/>
      <c r="BT25" s="64"/>
      <c r="BU25" s="64"/>
      <c r="BV25" s="64"/>
      <c r="BW25" s="64"/>
      <c r="BX25" s="64"/>
      <c r="BY25" s="64"/>
      <c r="BZ25" s="64"/>
      <c r="CA25" s="64"/>
      <c r="CB25" s="64"/>
      <c r="CC25" s="64"/>
      <c r="CD25" s="64"/>
      <c r="CE25" s="64"/>
      <c r="CF25" s="64"/>
      <c r="CG25" s="64"/>
      <c r="CH25" s="64"/>
    </row>
    <row r="26" spans="1:86" x14ac:dyDescent="0.35">
      <c r="A26" s="1"/>
      <c r="B26" s="105" t="s">
        <v>273</v>
      </c>
      <c r="C26" s="108">
        <f t="shared" si="4"/>
        <v>69.780371702276483</v>
      </c>
      <c r="D26" s="1"/>
      <c r="E26" s="1"/>
      <c r="F26" s="1"/>
      <c r="G26" s="64"/>
      <c r="H26" s="120">
        <f>C26</f>
        <v>69.780371702276483</v>
      </c>
      <c r="I26" s="64"/>
      <c r="J26" s="64"/>
      <c r="K26" s="64"/>
      <c r="L26" s="64"/>
      <c r="M26" s="64"/>
      <c r="N26" s="64"/>
      <c r="O26" s="64"/>
      <c r="P26" s="85" t="s">
        <v>203</v>
      </c>
      <c r="Q26" s="86" t="s">
        <v>113</v>
      </c>
      <c r="R26" s="87">
        <v>35</v>
      </c>
      <c r="S26" s="86" t="s">
        <v>107</v>
      </c>
      <c r="T26" s="92">
        <f t="shared" si="3"/>
        <v>0.62147319615887842</v>
      </c>
      <c r="U26" s="190">
        <f t="shared" si="3"/>
        <v>0.21022107421962616</v>
      </c>
      <c r="V26" s="190">
        <f t="shared" ref="V26" si="7">($H$18*V36)+((1-$H$18)*V31)</f>
        <v>0.18807436421962614</v>
      </c>
      <c r="W26" s="64"/>
      <c r="X26" s="64"/>
      <c r="Y26" s="64"/>
      <c r="Z26" s="64"/>
      <c r="AA26" s="64"/>
      <c r="AB26" s="64"/>
      <c r="AC26" s="64"/>
      <c r="AD26" s="64"/>
      <c r="AE26" s="64"/>
      <c r="AF26" s="64"/>
      <c r="AG26" s="64"/>
      <c r="AH26" s="64"/>
      <c r="AI26" s="64"/>
      <c r="AJ26" s="64"/>
      <c r="AK26" s="64"/>
      <c r="AL26" s="64"/>
      <c r="AM26" s="64"/>
      <c r="AN26" s="64"/>
      <c r="AO26" s="64"/>
      <c r="AP26" s="64"/>
      <c r="AQ26" s="64"/>
      <c r="AR26" s="64"/>
      <c r="AS26" s="64"/>
      <c r="AT26" s="64"/>
      <c r="AU26" s="64"/>
      <c r="AV26" s="64"/>
      <c r="AW26" s="64"/>
      <c r="AX26" s="64"/>
      <c r="AY26" s="64"/>
      <c r="AZ26" s="64"/>
      <c r="BA26" s="64"/>
      <c r="BB26" s="64"/>
      <c r="BC26" s="64"/>
      <c r="BD26" s="64"/>
      <c r="BE26" s="64"/>
      <c r="BF26" s="64"/>
      <c r="BG26" s="64"/>
      <c r="BH26" s="64"/>
      <c r="BI26" s="64"/>
      <c r="BJ26" s="64"/>
      <c r="BK26" s="64"/>
      <c r="BL26" s="64"/>
      <c r="BM26" s="64"/>
      <c r="BN26" s="64"/>
      <c r="BO26" s="64"/>
      <c r="BP26" s="64"/>
      <c r="BQ26" s="64"/>
      <c r="BR26" s="64"/>
      <c r="BS26" s="64"/>
      <c r="BT26" s="64"/>
      <c r="BU26" s="64"/>
      <c r="BV26" s="64"/>
      <c r="BW26" s="64"/>
      <c r="BX26" s="64"/>
      <c r="BY26" s="64"/>
      <c r="BZ26" s="64"/>
      <c r="CA26" s="64"/>
      <c r="CB26" s="64"/>
      <c r="CC26" s="64"/>
      <c r="CD26" s="64"/>
      <c r="CE26" s="64"/>
      <c r="CF26" s="64"/>
      <c r="CG26" s="64"/>
      <c r="CH26" s="64"/>
    </row>
    <row r="27" spans="1:86" x14ac:dyDescent="0.35">
      <c r="A27" s="1"/>
      <c r="B27" s="105" t="s">
        <v>274</v>
      </c>
      <c r="C27" s="108">
        <f t="shared" si="4"/>
        <v>9.8810675846309941</v>
      </c>
      <c r="D27" s="1"/>
      <c r="E27" s="1"/>
      <c r="F27" s="1"/>
      <c r="G27" s="64"/>
      <c r="H27" s="120">
        <f>C27</f>
        <v>9.8810675846309941</v>
      </c>
      <c r="I27" s="64"/>
      <c r="J27" s="64"/>
      <c r="K27" s="64"/>
      <c r="L27" s="64"/>
      <c r="M27" s="64"/>
      <c r="N27" s="64"/>
      <c r="O27" s="64"/>
      <c r="P27" s="85" t="s">
        <v>203</v>
      </c>
      <c r="Q27" s="86" t="s">
        <v>115</v>
      </c>
      <c r="R27" s="87">
        <v>35</v>
      </c>
      <c r="S27" s="86" t="s">
        <v>107</v>
      </c>
      <c r="T27" s="92">
        <f t="shared" si="3"/>
        <v>7.8190904625233634E-2</v>
      </c>
      <c r="U27" s="190">
        <f t="shared" si="3"/>
        <v>1.9898278183177569E-2</v>
      </c>
      <c r="V27" s="190">
        <f t="shared" ref="V27" si="8">($H$18*V37)+((1-$H$18)*V32)</f>
        <v>1.871499578317757E-2</v>
      </c>
      <c r="W27" s="64"/>
      <c r="X27" s="64"/>
      <c r="Y27" s="64"/>
      <c r="Z27" s="64"/>
      <c r="AA27" s="64"/>
      <c r="AB27" s="64"/>
      <c r="AC27" s="64"/>
      <c r="AD27" s="64"/>
      <c r="AE27" s="64"/>
      <c r="AF27" s="64"/>
      <c r="AG27" s="64"/>
      <c r="AH27" s="64"/>
      <c r="AI27" s="64"/>
      <c r="AJ27" s="64"/>
      <c r="AK27" s="64"/>
      <c r="AL27" s="64"/>
      <c r="AM27" s="64"/>
      <c r="AN27" s="64"/>
      <c r="AO27" s="64"/>
      <c r="AP27" s="64"/>
      <c r="AQ27" s="64"/>
      <c r="AR27" s="64"/>
      <c r="AS27" s="64"/>
      <c r="AT27" s="64"/>
      <c r="AU27" s="64"/>
      <c r="AV27" s="64"/>
      <c r="AW27" s="64"/>
      <c r="AX27" s="64"/>
      <c r="AY27" s="64"/>
      <c r="AZ27" s="64"/>
      <c r="BA27" s="64"/>
      <c r="BB27" s="64"/>
      <c r="BC27" s="64"/>
      <c r="BD27" s="64"/>
      <c r="BE27" s="64"/>
      <c r="BF27" s="64"/>
      <c r="BG27" s="64"/>
      <c r="BH27" s="64"/>
      <c r="BI27" s="64"/>
      <c r="BJ27" s="64"/>
      <c r="BK27" s="64"/>
      <c r="BL27" s="64"/>
      <c r="BM27" s="64"/>
      <c r="BN27" s="64"/>
      <c r="BO27" s="64"/>
      <c r="BP27" s="64"/>
      <c r="BQ27" s="64"/>
      <c r="BR27" s="64"/>
      <c r="BS27" s="64"/>
      <c r="BT27" s="64"/>
      <c r="BU27" s="64"/>
      <c r="BV27" s="64"/>
      <c r="BW27" s="64"/>
      <c r="BX27" s="64"/>
      <c r="BY27" s="64"/>
      <c r="BZ27" s="64"/>
      <c r="CA27" s="64"/>
      <c r="CB27" s="64"/>
      <c r="CC27" s="64"/>
      <c r="CD27" s="64"/>
      <c r="CE27" s="64"/>
      <c r="CF27" s="64"/>
      <c r="CG27" s="64"/>
      <c r="CH27" s="64"/>
    </row>
    <row r="28" spans="1:86" x14ac:dyDescent="0.35">
      <c r="A28" s="1"/>
      <c r="B28" s="1"/>
      <c r="C28" s="1"/>
      <c r="D28" s="1"/>
      <c r="E28" s="1"/>
      <c r="F28" s="1"/>
      <c r="G28" s="64"/>
      <c r="H28" s="64"/>
      <c r="I28" s="64"/>
      <c r="J28" s="64"/>
      <c r="K28" s="64"/>
      <c r="L28" s="64"/>
      <c r="M28" s="64"/>
      <c r="N28" s="64"/>
      <c r="O28" s="64"/>
      <c r="P28" s="236" t="s">
        <v>208</v>
      </c>
      <c r="Q28" s="229" t="s">
        <v>106</v>
      </c>
      <c r="R28" s="237">
        <v>35</v>
      </c>
      <c r="S28" s="229" t="s">
        <v>107</v>
      </c>
      <c r="T28" s="238">
        <f>'Emission Factors'!AG19</f>
        <v>355.56436448598129</v>
      </c>
      <c r="U28" s="239">
        <f>'Emission Factors'!AH19</f>
        <v>271.98332710280374</v>
      </c>
      <c r="V28" s="239">
        <f>'Emission Factors'!AI19</f>
        <v>271.98332710280374</v>
      </c>
      <c r="W28" s="64"/>
      <c r="X28" s="64"/>
      <c r="Y28" s="64"/>
      <c r="Z28" s="64"/>
      <c r="AA28" s="64"/>
      <c r="AB28" s="64"/>
      <c r="AC28" s="64"/>
      <c r="AD28" s="64"/>
      <c r="AE28" s="64"/>
      <c r="AF28" s="64"/>
      <c r="AG28" s="64"/>
      <c r="AH28" s="64"/>
      <c r="AI28" s="64"/>
      <c r="AJ28" s="64"/>
      <c r="AK28" s="64"/>
      <c r="AL28" s="64"/>
      <c r="AM28" s="64"/>
      <c r="AN28" s="64"/>
      <c r="AO28" s="64"/>
      <c r="AP28" s="64"/>
      <c r="AQ28" s="64"/>
      <c r="AR28" s="64"/>
      <c r="AS28" s="64"/>
      <c r="AT28" s="64"/>
      <c r="AU28" s="64"/>
      <c r="AV28" s="64"/>
      <c r="AW28" s="64"/>
      <c r="AX28" s="64"/>
      <c r="AY28" s="64"/>
      <c r="AZ28" s="64"/>
      <c r="BA28" s="64"/>
      <c r="BB28" s="64"/>
      <c r="BC28" s="64"/>
      <c r="BD28" s="64"/>
      <c r="BE28" s="64"/>
      <c r="BF28" s="64"/>
      <c r="BG28" s="64"/>
      <c r="BH28" s="64"/>
      <c r="BI28" s="64"/>
      <c r="BJ28" s="64"/>
      <c r="BK28" s="64"/>
      <c r="BL28" s="64"/>
      <c r="BM28" s="64"/>
      <c r="BN28" s="64"/>
      <c r="BO28" s="64"/>
      <c r="BP28" s="64"/>
      <c r="BQ28" s="64"/>
      <c r="BR28" s="64"/>
      <c r="BS28" s="64"/>
      <c r="BT28" s="64"/>
      <c r="BU28" s="64"/>
      <c r="BV28" s="64"/>
      <c r="BW28" s="64"/>
      <c r="BX28" s="64"/>
      <c r="BY28" s="64"/>
      <c r="BZ28" s="64"/>
      <c r="CA28" s="64"/>
      <c r="CB28" s="64"/>
      <c r="CC28" s="64"/>
      <c r="CD28" s="64"/>
      <c r="CE28" s="64"/>
      <c r="CF28" s="64"/>
      <c r="CG28" s="64"/>
      <c r="CH28" s="64"/>
    </row>
    <row r="29" spans="1:86" x14ac:dyDescent="0.35">
      <c r="A29" s="64"/>
      <c r="B29" s="64"/>
      <c r="C29" s="64"/>
      <c r="D29" s="64"/>
      <c r="E29" s="64"/>
      <c r="F29" s="64"/>
      <c r="G29" s="64"/>
      <c r="H29" s="64"/>
      <c r="I29" s="64"/>
      <c r="J29" s="64"/>
      <c r="K29" s="64"/>
      <c r="L29" s="64"/>
      <c r="M29" s="64"/>
      <c r="N29" s="64"/>
      <c r="O29" s="64"/>
      <c r="P29" s="85" t="s">
        <v>208</v>
      </c>
      <c r="Q29" s="86" t="s">
        <v>109</v>
      </c>
      <c r="R29" s="87">
        <v>35</v>
      </c>
      <c r="S29" s="86" t="s">
        <v>107</v>
      </c>
      <c r="T29" s="92">
        <f>'Emission Factors'!AG21</f>
        <v>2.8419604672897192</v>
      </c>
      <c r="U29" s="190">
        <f>'Emission Factors'!AH21</f>
        <v>1.3522563551401869</v>
      </c>
      <c r="V29" s="190">
        <f>'Emission Factors'!AI21</f>
        <v>1.3522563551401869</v>
      </c>
      <c r="W29" s="64"/>
      <c r="X29" s="64"/>
      <c r="Y29" s="64"/>
      <c r="Z29" s="64"/>
      <c r="AA29" s="64"/>
      <c r="AB29" s="64"/>
      <c r="AC29" s="64"/>
      <c r="AD29" s="64"/>
      <c r="AE29" s="64"/>
      <c r="AF29" s="64"/>
      <c r="AG29" s="64"/>
      <c r="AH29" s="64"/>
      <c r="AI29" s="64"/>
      <c r="AJ29" s="64"/>
      <c r="AK29" s="64"/>
      <c r="AL29" s="64"/>
      <c r="AM29" s="64"/>
      <c r="AN29" s="64"/>
      <c r="AO29" s="64"/>
      <c r="AP29" s="64"/>
      <c r="AQ29" s="64"/>
      <c r="AR29" s="64"/>
      <c r="AS29" s="64"/>
      <c r="AT29" s="64"/>
      <c r="AU29" s="64"/>
      <c r="AV29" s="64"/>
      <c r="AW29" s="64"/>
      <c r="AX29" s="64"/>
      <c r="AY29" s="64"/>
      <c r="AZ29" s="64"/>
      <c r="BA29" s="64"/>
      <c r="BB29" s="64"/>
      <c r="BC29" s="64"/>
      <c r="BD29" s="64"/>
      <c r="BE29" s="64"/>
      <c r="BF29" s="64"/>
      <c r="BG29" s="64"/>
      <c r="BH29" s="64"/>
      <c r="BI29" s="64"/>
      <c r="BJ29" s="64"/>
      <c r="BK29" s="64"/>
      <c r="BL29" s="64"/>
      <c r="BM29" s="64"/>
      <c r="BN29" s="64"/>
      <c r="BO29" s="64"/>
      <c r="BP29" s="64"/>
      <c r="BQ29" s="64"/>
      <c r="BR29" s="64"/>
      <c r="BS29" s="64"/>
      <c r="BT29" s="64"/>
      <c r="BU29" s="64"/>
      <c r="BV29" s="64"/>
      <c r="BW29" s="64"/>
      <c r="BX29" s="64"/>
      <c r="BY29" s="64"/>
      <c r="BZ29" s="64"/>
      <c r="CA29" s="64"/>
      <c r="CB29" s="64"/>
      <c r="CC29" s="64"/>
      <c r="CD29" s="64"/>
      <c r="CE29" s="64"/>
      <c r="CF29" s="64"/>
      <c r="CG29" s="64"/>
      <c r="CH29" s="64"/>
    </row>
    <row r="30" spans="1:86" ht="15.5" x14ac:dyDescent="0.35">
      <c r="A30" s="1"/>
      <c r="B30" s="61" t="s">
        <v>116</v>
      </c>
      <c r="C30" s="1"/>
      <c r="D30" s="1"/>
      <c r="E30" s="60"/>
      <c r="F30" s="60"/>
      <c r="G30" s="64"/>
      <c r="H30" s="64"/>
      <c r="I30" s="64"/>
      <c r="J30" s="64"/>
      <c r="K30" s="64"/>
      <c r="L30" s="64"/>
      <c r="M30" s="64"/>
      <c r="N30" s="64"/>
      <c r="O30" s="64"/>
      <c r="P30" s="85" t="s">
        <v>208</v>
      </c>
      <c r="Q30" s="86" t="s">
        <v>111</v>
      </c>
      <c r="R30" s="87">
        <v>35</v>
      </c>
      <c r="S30" s="86" t="s">
        <v>107</v>
      </c>
      <c r="T30" s="92">
        <f>'Emission Factors'!AG23</f>
        <v>4.8185296261682243E-3</v>
      </c>
      <c r="U30" s="190">
        <f>'Emission Factors'!AH23</f>
        <v>1.5563902803738317E-3</v>
      </c>
      <c r="V30" s="190">
        <f>'Emission Factors'!AI23</f>
        <v>1.5563902803738317E-3</v>
      </c>
      <c r="W30" s="64"/>
      <c r="X30" s="64"/>
      <c r="Y30" s="64"/>
      <c r="Z30" s="64"/>
      <c r="AA30" s="64"/>
      <c r="AB30" s="64"/>
      <c r="AC30" s="64"/>
      <c r="AD30" s="64"/>
      <c r="AE30" s="64"/>
      <c r="AF30" s="64"/>
      <c r="AG30" s="64"/>
      <c r="AH30" s="64"/>
      <c r="AI30" s="64"/>
      <c r="AJ30" s="64"/>
      <c r="AK30" s="64"/>
      <c r="AL30" s="64"/>
      <c r="AM30" s="64"/>
      <c r="AN30" s="64"/>
      <c r="AO30" s="64"/>
      <c r="AP30" s="64"/>
      <c r="AQ30" s="64"/>
      <c r="AR30" s="64"/>
      <c r="AS30" s="64"/>
      <c r="AT30" s="64"/>
      <c r="AU30" s="64"/>
      <c r="AV30" s="64"/>
      <c r="AW30" s="64"/>
      <c r="AX30" s="64"/>
      <c r="AY30" s="64"/>
      <c r="AZ30" s="64"/>
      <c r="BA30" s="64"/>
      <c r="BB30" s="64"/>
      <c r="BC30" s="64"/>
      <c r="BD30" s="64"/>
      <c r="BE30" s="64"/>
      <c r="BF30" s="64"/>
      <c r="BG30" s="64"/>
      <c r="BH30" s="64"/>
      <c r="BI30" s="64"/>
      <c r="BJ30" s="64"/>
      <c r="BK30" s="64"/>
      <c r="BL30" s="64"/>
      <c r="BM30" s="64"/>
      <c r="BN30" s="64"/>
      <c r="BO30" s="64"/>
      <c r="BP30" s="64"/>
      <c r="BQ30" s="64"/>
      <c r="BR30" s="64"/>
      <c r="BS30" s="64"/>
      <c r="BT30" s="64"/>
      <c r="BU30" s="64"/>
      <c r="BV30" s="64"/>
      <c r="BW30" s="64"/>
      <c r="BX30" s="64"/>
      <c r="BY30" s="64"/>
      <c r="BZ30" s="64"/>
      <c r="CA30" s="64"/>
      <c r="CB30" s="64"/>
      <c r="CC30" s="64"/>
      <c r="CD30" s="64"/>
      <c r="CE30" s="64"/>
      <c r="CF30" s="64"/>
      <c r="CG30" s="64"/>
      <c r="CH30" s="64"/>
    </row>
    <row r="31" spans="1:86" x14ac:dyDescent="0.35">
      <c r="A31" s="60"/>
      <c r="B31" s="102" t="s">
        <v>84</v>
      </c>
      <c r="C31" s="102" t="s">
        <v>85</v>
      </c>
      <c r="D31" s="60"/>
      <c r="E31" s="60"/>
      <c r="F31" s="60"/>
      <c r="G31" s="64"/>
      <c r="H31" s="115"/>
      <c r="I31" s="64"/>
      <c r="J31" s="64"/>
      <c r="K31" s="64"/>
      <c r="L31" s="64"/>
      <c r="M31" s="64"/>
      <c r="N31" s="64"/>
      <c r="O31" s="64"/>
      <c r="P31" s="85" t="s">
        <v>208</v>
      </c>
      <c r="Q31" s="86" t="s">
        <v>113</v>
      </c>
      <c r="R31" s="87">
        <v>35</v>
      </c>
      <c r="S31" s="86" t="s">
        <v>107</v>
      </c>
      <c r="T31" s="92">
        <f>'Emission Factors'!AG25</f>
        <v>0.34835785981308409</v>
      </c>
      <c r="U31" s="190">
        <f>'Emission Factors'!AH25</f>
        <v>8.2715453271028028E-2</v>
      </c>
      <c r="V31" s="190">
        <f>'Emission Factors'!AI25</f>
        <v>8.2715453271028028E-2</v>
      </c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4"/>
      <c r="BM31" s="64"/>
      <c r="BN31" s="64"/>
      <c r="BO31" s="64"/>
      <c r="BP31" s="64"/>
      <c r="BQ31" s="64"/>
      <c r="BR31" s="64"/>
      <c r="BS31" s="64"/>
      <c r="BT31" s="64"/>
      <c r="BU31" s="64"/>
      <c r="BV31" s="64"/>
      <c r="BW31" s="64"/>
      <c r="BX31" s="64"/>
      <c r="BY31" s="64"/>
      <c r="BZ31" s="64"/>
      <c r="CA31" s="64"/>
      <c r="CB31" s="64"/>
      <c r="CC31" s="64"/>
      <c r="CD31" s="64"/>
      <c r="CE31" s="64"/>
      <c r="CF31" s="64"/>
      <c r="CG31" s="64"/>
      <c r="CH31" s="64"/>
    </row>
    <row r="32" spans="1:86" x14ac:dyDescent="0.35">
      <c r="A32" s="60"/>
      <c r="B32" s="112" t="s">
        <v>275</v>
      </c>
      <c r="C32" s="131">
        <f>IF(SUM(I$16:I$18)&gt;0,"[Error]",(H14*H16-(H15*H17)))</f>
        <v>0</v>
      </c>
      <c r="D32" s="60"/>
      <c r="E32" s="60"/>
      <c r="F32" s="60"/>
      <c r="G32" s="64"/>
      <c r="H32" s="163">
        <f>IFERROR(C32,0)</f>
        <v>0</v>
      </c>
      <c r="I32" s="64"/>
      <c r="J32" s="64"/>
      <c r="K32" s="64"/>
      <c r="L32" s="64"/>
      <c r="M32" s="64"/>
      <c r="N32" s="64"/>
      <c r="O32" s="64"/>
      <c r="P32" s="85" t="s">
        <v>208</v>
      </c>
      <c r="Q32" s="86" t="s">
        <v>115</v>
      </c>
      <c r="R32" s="87">
        <v>35</v>
      </c>
      <c r="S32" s="86" t="s">
        <v>107</v>
      </c>
      <c r="T32" s="92">
        <f>'Emission Factors'!AG27</f>
        <v>6.8872954205607476E-2</v>
      </c>
      <c r="U32" s="190">
        <f>'Emission Factors'!AH27</f>
        <v>1.744109719626168E-2</v>
      </c>
      <c r="V32" s="190">
        <f>'Emission Factors'!AI27</f>
        <v>1.744109719626168E-2</v>
      </c>
      <c r="W32" s="64"/>
      <c r="X32" s="64"/>
      <c r="Y32" s="64"/>
      <c r="Z32" s="64"/>
      <c r="AA32" s="64"/>
      <c r="AB32" s="64"/>
      <c r="AC32" s="64"/>
      <c r="AD32" s="64"/>
      <c r="AE32" s="64"/>
      <c r="AF32" s="64"/>
      <c r="AG32" s="64"/>
      <c r="AH32" s="64"/>
      <c r="AI32" s="64"/>
      <c r="AJ32" s="64"/>
      <c r="AK32" s="64"/>
      <c r="AL32" s="64"/>
      <c r="AM32" s="64"/>
      <c r="AN32" s="64"/>
      <c r="AO32" s="64"/>
      <c r="AP32" s="64"/>
      <c r="AQ32" s="64"/>
      <c r="AR32" s="64"/>
      <c r="AS32" s="64"/>
      <c r="AT32" s="64"/>
      <c r="AU32" s="64"/>
      <c r="AV32" s="64"/>
      <c r="AW32" s="64"/>
      <c r="AX32" s="64"/>
      <c r="AY32" s="64"/>
      <c r="AZ32" s="64"/>
      <c r="BA32" s="64"/>
      <c r="BB32" s="64"/>
      <c r="BC32" s="64"/>
      <c r="BD32" s="64"/>
      <c r="BE32" s="64"/>
      <c r="BF32" s="64"/>
      <c r="BG32" s="64"/>
      <c r="BH32" s="64"/>
      <c r="BI32" s="64"/>
      <c r="BJ32" s="64"/>
      <c r="BK32" s="64"/>
      <c r="BL32" s="64"/>
      <c r="BM32" s="64"/>
      <c r="BN32" s="64"/>
      <c r="BO32" s="64"/>
      <c r="BP32" s="64"/>
      <c r="BQ32" s="64"/>
      <c r="BR32" s="64"/>
      <c r="BS32" s="64"/>
      <c r="BT32" s="64"/>
      <c r="BU32" s="64"/>
      <c r="BV32" s="64"/>
      <c r="BW32" s="64"/>
      <c r="BX32" s="64"/>
      <c r="BY32" s="64"/>
      <c r="BZ32" s="64"/>
      <c r="CA32" s="64"/>
      <c r="CB32" s="64"/>
      <c r="CC32" s="64"/>
      <c r="CD32" s="64"/>
      <c r="CE32" s="64"/>
      <c r="CF32" s="64"/>
      <c r="CG32" s="64"/>
      <c r="CH32" s="64"/>
    </row>
    <row r="33" spans="1:86" x14ac:dyDescent="0.35">
      <c r="A33" s="60"/>
      <c r="B33" s="111" t="s">
        <v>65</v>
      </c>
      <c r="C33" s="131">
        <f>IF(SUM($I$16:$I$18)&gt;0,"[Error]",H$32*H23)/1000</f>
        <v>0</v>
      </c>
      <c r="D33" s="60"/>
      <c r="E33" s="60"/>
      <c r="F33" s="60"/>
      <c r="G33" s="64"/>
      <c r="H33" s="163">
        <f t="shared" ref="H33:H37" si="9">IFERROR(C33,0)</f>
        <v>0</v>
      </c>
      <c r="I33" s="64"/>
      <c r="J33" s="64"/>
      <c r="K33" s="64"/>
      <c r="L33" s="64"/>
      <c r="M33" s="64"/>
      <c r="N33" s="64"/>
      <c r="O33" s="64"/>
      <c r="P33" s="236" t="s">
        <v>136</v>
      </c>
      <c r="Q33" s="229" t="s">
        <v>106</v>
      </c>
      <c r="R33" s="237">
        <v>35</v>
      </c>
      <c r="S33" s="229" t="s">
        <v>107</v>
      </c>
      <c r="T33" s="238">
        <f>IF(Q33="CO2eq",VLOOKUP(R33,'Emission Factors'!$G$3:$J$18,MATCH(P33,'Emission Factors'!$G$2:$J$2,0),0),IF(Q33="CO",VLOOKUP($R33,'Emission Factors'!$G$19:$J$34,MATCH(P33,'Emission Factors'!$G$2:$J$2,0),0),IF(Q33="PM2.5",VLOOKUP(R33,'Emission Factors'!$G$35:$J$50,MATCH(P33,'Emission Factors'!$G$2:$J$2,0),0),IF(Q33="NOx",VLOOKUP(R33,'Emission Factors'!$G$51:$J$66,MATCH(P33,'Emission Factors'!$G$2:$J$2,0),0),VLOOKUP(R33,'Emission Factors'!$G$67:$J$82,MATCH(P33,'Emission Factors'!$G$2:$J$2,0),0)))))</f>
        <v>1789.19</v>
      </c>
      <c r="U33" s="239">
        <f>IF($Q33="CO2eq",VLOOKUP($R33,'Emission Factors'!$G$88:$J$103,MATCH($P33,'Emission Factors'!$G$87:$J$87,0),0),IF(Q33="CO",VLOOKUP($R33,'Emission Factors'!$G$104:$J$119,MATCH(P33,'Emission Factors'!$G$87:$J$87,0),0),IF(Q33="PM2.5",VLOOKUP(R33,'Emission Factors'!$G$120:$J$135,MATCH(P33,'Emission Factors'!$G$87:$J$87,0),0),IF(Q33="NOx",VLOOKUP(R33,'Emission Factors'!$G$136:$J$151,MATCH(P33,'Emission Factors'!$G$87:$J$87,0),0),VLOOKUP(R33,'Emission Factors'!$G$152:$J$167,MATCH(P33,'Emission Factors'!$G$87:$J$87,0),0)))))</f>
        <v>1543.59</v>
      </c>
      <c r="V33" s="472">
        <f>IF($Q33="CO2eq",VLOOKUP($R33,'Emission Factors'!$G$173:$J$188,MATCH($P33,'Emission Factors'!$G$87:$J$87,0),0),IF(Q33="CO",VLOOKUP($R33,'Emission Factors'!$G$189:$J$204,MATCH(P33,'Emission Factors'!$G$87:$J$87,0),0),IF(Q33="PM2.5",VLOOKUP(R33,'Emission Factors'!$G$205:$J$220,MATCH(P33,'Emission Factors'!$G$87:$J$87,0),0),IF(Q33="NOx",VLOOKUP(R33,'Emission Factors'!$G$221:$J$236,MATCH(P33,'Emission Factors'!$G$87:$J$87,0),0),VLOOKUP(R33,'Emission Factors'!$G$237:$J$252,MATCH(P33,'Emission Factors'!$G$87:$J$87,0),0)))))</f>
        <v>1366.57</v>
      </c>
      <c r="W33" s="64"/>
      <c r="X33" s="64"/>
      <c r="Y33" s="64"/>
      <c r="Z33" s="64"/>
      <c r="AA33" s="64"/>
      <c r="AB33" s="64"/>
      <c r="AC33" s="64"/>
      <c r="AD33" s="64"/>
      <c r="AE33" s="64"/>
      <c r="AF33" s="64"/>
      <c r="AG33" s="64"/>
      <c r="AH33" s="64"/>
      <c r="AI33" s="64"/>
      <c r="AJ33" s="64"/>
      <c r="AK33" s="64"/>
      <c r="AL33" s="64"/>
      <c r="AM33" s="64"/>
      <c r="AN33" s="64"/>
      <c r="AO33" s="64"/>
      <c r="AP33" s="64"/>
      <c r="AQ33" s="64"/>
      <c r="AR33" s="64"/>
      <c r="AS33" s="64"/>
      <c r="AT33" s="64"/>
      <c r="AU33" s="64"/>
      <c r="AV33" s="64"/>
      <c r="AW33" s="64"/>
      <c r="AX33" s="64"/>
      <c r="AY33" s="64"/>
      <c r="AZ33" s="64"/>
      <c r="BA33" s="64"/>
      <c r="BB33" s="64"/>
      <c r="BC33" s="64"/>
      <c r="BD33" s="64"/>
      <c r="BE33" s="64"/>
      <c r="BF33" s="64"/>
      <c r="BG33" s="64"/>
      <c r="BH33" s="64"/>
      <c r="BI33" s="64"/>
      <c r="BJ33" s="64"/>
      <c r="BK33" s="64"/>
      <c r="BL33" s="64"/>
      <c r="BM33" s="64"/>
      <c r="BN33" s="64"/>
      <c r="BO33" s="64"/>
      <c r="BP33" s="64"/>
      <c r="BQ33" s="64"/>
      <c r="BR33" s="64"/>
      <c r="BS33" s="64"/>
      <c r="BT33" s="64"/>
      <c r="BU33" s="64"/>
      <c r="BV33" s="64"/>
      <c r="BW33" s="64"/>
      <c r="BX33" s="64"/>
      <c r="BY33" s="64"/>
      <c r="BZ33" s="64"/>
      <c r="CA33" s="64"/>
      <c r="CB33" s="64"/>
      <c r="CC33" s="64"/>
      <c r="CD33" s="64"/>
      <c r="CE33" s="64"/>
      <c r="CF33" s="64"/>
      <c r="CG33" s="64"/>
      <c r="CH33" s="64"/>
    </row>
    <row r="34" spans="1:86" x14ac:dyDescent="0.35">
      <c r="A34" s="60"/>
      <c r="B34" s="111" t="s">
        <v>66</v>
      </c>
      <c r="C34" s="131">
        <f>IF(SUM($I$16:$I$18)&gt;0,"[Error]",H$32*H24)/1000</f>
        <v>0</v>
      </c>
      <c r="D34" s="60"/>
      <c r="E34" s="60"/>
      <c r="F34" s="60"/>
      <c r="G34" s="64"/>
      <c r="H34" s="163">
        <f t="shared" si="9"/>
        <v>0</v>
      </c>
      <c r="I34" s="64"/>
      <c r="J34" s="64"/>
      <c r="K34" s="64"/>
      <c r="L34" s="64"/>
      <c r="M34" s="64"/>
      <c r="N34" s="64"/>
      <c r="O34" s="64"/>
      <c r="P34" s="85" t="s">
        <v>136</v>
      </c>
      <c r="Q34" s="86" t="s">
        <v>109</v>
      </c>
      <c r="R34" s="87">
        <v>35</v>
      </c>
      <c r="S34" s="86" t="s">
        <v>107</v>
      </c>
      <c r="T34" s="92">
        <f>IF(Q34="CO2eq",VLOOKUP(R34,'Emission Factors'!$G$3:$J$18,MATCH(P34,'Emission Factors'!$G$2:$J$2,0),0),IF(Q34="CO",VLOOKUP($R34,'Emission Factors'!$G$19:$J$34,MATCH(P34,'Emission Factors'!$G$2:$J$2,0),0),IF(Q34="PM2.5",VLOOKUP(R34,'Emission Factors'!$G$35:$J$50,MATCH(P34,'Emission Factors'!$G$2:$J$2,0),0),IF(Q34="NOx",VLOOKUP(R34,'Emission Factors'!$G$51:$J$66,MATCH(P34,'Emission Factors'!$G$2:$J$2,0),0),VLOOKUP(R34,'Emission Factors'!$G$67:$J$82,MATCH(P34,'Emission Factors'!$G$2:$J$2,0),0)))))</f>
        <v>3.0476200000000002</v>
      </c>
      <c r="U34" s="190">
        <f>IF($Q34="CO2eq",VLOOKUP($R34,'Emission Factors'!$G$88:$J$103,MATCH($P34,'Emission Factors'!$G$87:$J$87,0),0),IF(Q34="CO",VLOOKUP($R34,'Emission Factors'!$G$104:$J$119,MATCH(P34,'Emission Factors'!$G$87:$J$87,0),0),IF(Q34="PM2.5",VLOOKUP(R34,'Emission Factors'!$G$120:$J$135,MATCH(P34,'Emission Factors'!$G$87:$J$87,0),0),IF(Q34="NOx",VLOOKUP(R34,'Emission Factors'!$G$136:$J$151,MATCH(P34,'Emission Factors'!$G$87:$J$87,0),0),VLOOKUP(R34,'Emission Factors'!$G$152:$J$167,MATCH(P34,'Emission Factors'!$G$87:$J$87,0),0)))))</f>
        <v>2.5998199999999998</v>
      </c>
      <c r="V34" s="473">
        <f>IF($Q34="CO2eq",VLOOKUP($R34,'Emission Factors'!$G$173:$J$188,MATCH($P34,'Emission Factors'!$G$87:$J$87,0),0),IF(Q34="CO",VLOOKUP($R34,'Emission Factors'!$G$189:$J$204,MATCH(P34,'Emission Factors'!$G$87:$J$87,0),0),IF(Q34="PM2.5",VLOOKUP(R34,'Emission Factors'!$G$205:$J$220,MATCH(P34,'Emission Factors'!$G$87:$J$87,0),0),IF(Q34="NOx",VLOOKUP(R34,'Emission Factors'!$G$221:$J$236,MATCH(P34,'Emission Factors'!$G$87:$J$87,0),0),VLOOKUP(R34,'Emission Factors'!$G$237:$J$252,MATCH(P34,'Emission Factors'!$G$87:$J$87,0),0)))))</f>
        <v>2.4954299999999998</v>
      </c>
      <c r="W34" s="64"/>
      <c r="X34" s="64"/>
      <c r="Y34" s="64"/>
      <c r="Z34" s="64"/>
      <c r="AA34" s="64"/>
      <c r="AB34" s="64"/>
      <c r="AC34" s="64"/>
      <c r="AD34" s="64"/>
      <c r="AE34" s="64"/>
      <c r="AF34" s="64"/>
      <c r="AG34" s="64"/>
      <c r="AH34" s="64"/>
      <c r="AI34" s="64"/>
      <c r="AJ34" s="64"/>
      <c r="AK34" s="64"/>
      <c r="AL34" s="64"/>
      <c r="AM34" s="64"/>
      <c r="AN34" s="64"/>
      <c r="AO34" s="64"/>
      <c r="AP34" s="64"/>
      <c r="AQ34" s="64"/>
      <c r="AR34" s="64"/>
      <c r="AS34" s="64"/>
      <c r="AT34" s="64"/>
      <c r="AU34" s="64"/>
      <c r="AV34" s="64"/>
      <c r="AW34" s="64"/>
      <c r="AX34" s="64"/>
      <c r="AY34" s="64"/>
      <c r="AZ34" s="64"/>
      <c r="BA34" s="64"/>
      <c r="BB34" s="64"/>
      <c r="BC34" s="64"/>
      <c r="BD34" s="64"/>
      <c r="BE34" s="64"/>
      <c r="BF34" s="64"/>
      <c r="BG34" s="64"/>
      <c r="BH34" s="64"/>
      <c r="BI34" s="64"/>
      <c r="BJ34" s="64"/>
      <c r="BK34" s="64"/>
      <c r="BL34" s="64"/>
      <c r="BM34" s="64"/>
      <c r="BN34" s="64"/>
      <c r="BO34" s="64"/>
      <c r="BP34" s="64"/>
      <c r="BQ34" s="64"/>
      <c r="BR34" s="64"/>
      <c r="BS34" s="64"/>
      <c r="BT34" s="64"/>
      <c r="BU34" s="64"/>
      <c r="BV34" s="64"/>
      <c r="BW34" s="64"/>
      <c r="BX34" s="64"/>
      <c r="BY34" s="64"/>
      <c r="BZ34" s="64"/>
      <c r="CA34" s="64"/>
      <c r="CB34" s="64"/>
      <c r="CC34" s="64"/>
      <c r="CD34" s="64"/>
      <c r="CE34" s="64"/>
      <c r="CF34" s="64"/>
      <c r="CG34" s="64"/>
      <c r="CH34" s="64"/>
    </row>
    <row r="35" spans="1:86" x14ac:dyDescent="0.35">
      <c r="A35" s="60"/>
      <c r="B35" s="111" t="s">
        <v>67</v>
      </c>
      <c r="C35" s="131">
        <f>IF(SUM($I$16:$I$18)&gt;0,"[Error]",H$32*H25)/1000</f>
        <v>0</v>
      </c>
      <c r="D35" s="60"/>
      <c r="E35" s="60"/>
      <c r="F35" s="60"/>
      <c r="G35" s="64"/>
      <c r="H35" s="163">
        <f t="shared" si="9"/>
        <v>0</v>
      </c>
      <c r="I35" s="64"/>
      <c r="J35" s="64"/>
      <c r="K35" s="64"/>
      <c r="L35" s="64"/>
      <c r="M35" s="64"/>
      <c r="N35" s="64"/>
      <c r="O35" s="64"/>
      <c r="P35" s="85" t="s">
        <v>136</v>
      </c>
      <c r="Q35" s="86" t="s">
        <v>111</v>
      </c>
      <c r="R35" s="87">
        <v>35</v>
      </c>
      <c r="S35" s="86" t="s">
        <v>107</v>
      </c>
      <c r="T35" s="92">
        <f>IF(Q35="CO2eq",VLOOKUP(R35,'Emission Factors'!$G$3:$J$18,MATCH(P35,'Emission Factors'!$G$2:$J$2,0),0),IF(Q35="CO",VLOOKUP($R35,'Emission Factors'!$G$19:$J$34,MATCH(P35,'Emission Factors'!$G$2:$J$2,0),0),IF(Q35="PM2.5",VLOOKUP(R35,'Emission Factors'!$G$35:$J$50,MATCH(P35,'Emission Factors'!$G$2:$J$2,0),0),IF(Q35="NOx",VLOOKUP(R35,'Emission Factors'!$G$51:$J$66,MATCH(P35,'Emission Factors'!$G$2:$J$2,0),0),VLOOKUP(R35,'Emission Factors'!$G$67:$J$82,MATCH(P35,'Emission Factors'!$G$2:$J$2,0),0)))))</f>
        <v>0.30203400000000002</v>
      </c>
      <c r="U35" s="190">
        <f>IF($Q35="CO2eq",VLOOKUP($R35,'Emission Factors'!$G$88:$J$103,MATCH($P35,'Emission Factors'!$G$87:$J$87,0),0),IF(Q35="CO",VLOOKUP($R35,'Emission Factors'!$G$104:$J$119,MATCH(P35,'Emission Factors'!$G$87:$J$87,0),0),IF(Q35="PM2.5",VLOOKUP(R35,'Emission Factors'!$G$120:$J$135,MATCH(P35,'Emission Factors'!$G$87:$J$87,0),0),IF(Q35="NOx",VLOOKUP(R35,'Emission Factors'!$G$136:$J$151,MATCH(P35,'Emission Factors'!$G$87:$J$87,0),0),VLOOKUP(R35,'Emission Factors'!$G$152:$J$167,MATCH(P35,'Emission Factors'!$G$87:$J$87,0),0)))))</f>
        <v>5.6723599999999999E-2</v>
      </c>
      <c r="V35" s="473">
        <f>IF($Q35="CO2eq",VLOOKUP($R35,'Emission Factors'!$G$173:$J$188,MATCH($P35,'Emission Factors'!$G$87:$J$87,0),0),IF(Q35="CO",VLOOKUP($R35,'Emission Factors'!$G$189:$J$204,MATCH(P35,'Emission Factors'!$G$87:$J$87,0),0),IF(Q35="PM2.5",VLOOKUP(R35,'Emission Factors'!$G$205:$J$220,MATCH(P35,'Emission Factors'!$G$87:$J$87,0),0),IF(Q35="NOx",VLOOKUP(R35,'Emission Factors'!$G$221:$J$236,MATCH(P35,'Emission Factors'!$G$87:$J$87,0),0),VLOOKUP(R35,'Emission Factors'!$G$237:$J$252,MATCH(P35,'Emission Factors'!$G$87:$J$87,0),0)))))</f>
        <v>2.7496900000000001E-2</v>
      </c>
      <c r="W35" s="64"/>
      <c r="X35" s="64"/>
      <c r="Y35" s="64"/>
      <c r="Z35" s="64"/>
      <c r="AA35" s="64"/>
      <c r="AB35" s="64"/>
      <c r="AC35" s="64"/>
      <c r="AD35" s="64"/>
      <c r="AE35" s="64"/>
      <c r="AF35" s="64"/>
      <c r="AG35" s="64"/>
      <c r="AH35" s="64"/>
      <c r="AI35" s="64"/>
      <c r="AJ35" s="64"/>
      <c r="AK35" s="64"/>
      <c r="AL35" s="64"/>
      <c r="AM35" s="64"/>
      <c r="AN35" s="64"/>
      <c r="AO35" s="64"/>
      <c r="AP35" s="64"/>
      <c r="AQ35" s="64"/>
      <c r="AR35" s="64"/>
      <c r="AS35" s="64"/>
      <c r="AT35" s="64"/>
      <c r="AU35" s="64"/>
      <c r="AV35" s="64"/>
      <c r="AW35" s="64"/>
      <c r="AX35" s="64"/>
      <c r="AY35" s="64"/>
      <c r="AZ35" s="64"/>
      <c r="BA35" s="64"/>
      <c r="BB35" s="64"/>
      <c r="BC35" s="64"/>
      <c r="BD35" s="64"/>
      <c r="BE35" s="64"/>
      <c r="BF35" s="64"/>
      <c r="BG35" s="64"/>
      <c r="BH35" s="64"/>
      <c r="BI35" s="64"/>
      <c r="BJ35" s="64"/>
      <c r="BK35" s="64"/>
      <c r="BL35" s="64"/>
      <c r="BM35" s="64"/>
      <c r="BN35" s="64"/>
      <c r="BO35" s="64"/>
      <c r="BP35" s="64"/>
      <c r="BQ35" s="64"/>
      <c r="BR35" s="64"/>
      <c r="BS35" s="64"/>
      <c r="BT35" s="64"/>
      <c r="BU35" s="64"/>
      <c r="BV35" s="64"/>
      <c r="BW35" s="64"/>
      <c r="BX35" s="64"/>
      <c r="BY35" s="64"/>
      <c r="BZ35" s="64"/>
      <c r="CA35" s="64"/>
      <c r="CB35" s="64"/>
      <c r="CC35" s="64"/>
      <c r="CD35" s="64"/>
      <c r="CE35" s="64"/>
      <c r="CF35" s="64"/>
      <c r="CG35" s="64"/>
      <c r="CH35" s="64"/>
    </row>
    <row r="36" spans="1:86" x14ac:dyDescent="0.35">
      <c r="A36" s="60"/>
      <c r="B36" s="111" t="s">
        <v>68</v>
      </c>
      <c r="C36" s="131">
        <f>IF(SUM($I$16:$I$18)&gt;0,"[Error]",H$32*H26)/1000</f>
        <v>0</v>
      </c>
      <c r="D36" s="60"/>
      <c r="E36" s="60"/>
      <c r="F36" s="60"/>
      <c r="G36" s="64"/>
      <c r="H36" s="163">
        <f t="shared" si="9"/>
        <v>0</v>
      </c>
      <c r="I36" s="64"/>
      <c r="J36" s="64"/>
      <c r="K36" s="64"/>
      <c r="L36" s="64"/>
      <c r="M36" s="64"/>
      <c r="N36" s="64"/>
      <c r="O36" s="64"/>
      <c r="P36" s="85" t="s">
        <v>136</v>
      </c>
      <c r="Q36" s="86" t="s">
        <v>113</v>
      </c>
      <c r="R36" s="87">
        <v>35</v>
      </c>
      <c r="S36" s="86" t="s">
        <v>107</v>
      </c>
      <c r="T36" s="92">
        <f>IF(Q36="CO2eq",VLOOKUP(R36,'Emission Factors'!$G$3:$J$18,MATCH(P36,'Emission Factors'!$G$2:$J$2,0),0),IF(Q36="CO",VLOOKUP($R36,'Emission Factors'!$G$19:$J$34,MATCH(P36,'Emission Factors'!$G$2:$J$2,0),0),IF(Q36="PM2.5",VLOOKUP(R36,'Emission Factors'!$G$35:$J$50,MATCH(P36,'Emission Factors'!$G$2:$J$2,0),0),IF(Q36="NOx",VLOOKUP(R36,'Emission Factors'!$G$51:$J$66,MATCH(P36,'Emission Factors'!$G$2:$J$2,0),0),VLOOKUP(R36,'Emission Factors'!$G$67:$J$82,MATCH(P36,'Emission Factors'!$G$2:$J$2,0),0)))))</f>
        <v>9.1585300000000007</v>
      </c>
      <c r="U36" s="190">
        <f>IF($Q36="CO2eq",VLOOKUP($R36,'Emission Factors'!$G$88:$J$103,MATCH($P36,'Emission Factors'!$G$87:$J$87,0),0),IF(Q36="CO",VLOOKUP($R36,'Emission Factors'!$G$104:$J$119,MATCH(P36,'Emission Factors'!$G$87:$J$87,0),0),IF(Q36="PM2.5",VLOOKUP(R36,'Emission Factors'!$G$120:$J$135,MATCH(P36,'Emission Factors'!$G$87:$J$87,0),0),IF(Q36="NOx",VLOOKUP(R36,'Emission Factors'!$G$136:$J$151,MATCH(P36,'Emission Factors'!$G$87:$J$87,0),0),VLOOKUP(R36,'Emission Factors'!$G$152:$J$167,MATCH(P36,'Emission Factors'!$G$87:$J$87,0),0)))))</f>
        <v>4.1958000000000002</v>
      </c>
      <c r="V36" s="473">
        <f>IF($Q36="CO2eq",VLOOKUP($R36,'Emission Factors'!$G$173:$J$188,MATCH($P36,'Emission Factors'!$G$87:$J$87,0),0),IF(Q36="CO",VLOOKUP($R36,'Emission Factors'!$G$189:$J$204,MATCH(P36,'Emission Factors'!$G$87:$J$87,0),0),IF(Q36="PM2.5",VLOOKUP(R36,'Emission Factors'!$G$205:$J$220,MATCH(P36,'Emission Factors'!$G$87:$J$87,0),0),IF(Q36="NOx",VLOOKUP(R36,'Emission Factors'!$G$221:$J$236,MATCH(P36,'Emission Factors'!$G$87:$J$87,0),0),VLOOKUP(R36,'Emission Factors'!$G$237:$J$252,MATCH(P36,'Emission Factors'!$G$87:$J$87,0),0)))))</f>
        <v>3.4813900000000002</v>
      </c>
      <c r="W36" s="64"/>
      <c r="X36" s="64"/>
      <c r="Y36" s="64"/>
      <c r="Z36" s="64"/>
      <c r="AA36" s="64"/>
      <c r="AB36" s="64"/>
      <c r="AC36" s="64"/>
      <c r="AD36" s="64"/>
      <c r="AE36" s="64"/>
      <c r="AF36" s="64"/>
      <c r="AG36" s="64"/>
      <c r="AH36" s="64"/>
      <c r="AI36" s="64"/>
      <c r="AJ36" s="64"/>
      <c r="AK36" s="64"/>
      <c r="AL36" s="64"/>
      <c r="AM36" s="64"/>
      <c r="AN36" s="64"/>
      <c r="AO36" s="64"/>
      <c r="AP36" s="64"/>
      <c r="AQ36" s="64"/>
      <c r="AR36" s="64"/>
      <c r="AS36" s="64"/>
      <c r="AT36" s="64"/>
      <c r="AU36" s="64"/>
      <c r="AV36" s="64"/>
      <c r="AW36" s="64"/>
      <c r="AX36" s="64"/>
      <c r="AY36" s="64"/>
      <c r="AZ36" s="64"/>
      <c r="BA36" s="64"/>
      <c r="BB36" s="64"/>
      <c r="BC36" s="64"/>
      <c r="BD36" s="64"/>
      <c r="BE36" s="64"/>
      <c r="BF36" s="64"/>
      <c r="BG36" s="64"/>
      <c r="BH36" s="64"/>
      <c r="BI36" s="64"/>
      <c r="BJ36" s="64"/>
      <c r="BK36" s="64"/>
      <c r="BL36" s="64"/>
      <c r="BM36" s="64"/>
      <c r="BN36" s="64"/>
      <c r="BO36" s="64"/>
      <c r="BP36" s="64"/>
      <c r="BQ36" s="64"/>
      <c r="BR36" s="64"/>
      <c r="BS36" s="64"/>
      <c r="BT36" s="64"/>
      <c r="BU36" s="64"/>
      <c r="BV36" s="64"/>
      <c r="BW36" s="64"/>
      <c r="BX36" s="64"/>
      <c r="BY36" s="64"/>
      <c r="BZ36" s="64"/>
      <c r="CA36" s="64"/>
      <c r="CB36" s="64"/>
      <c r="CC36" s="64"/>
      <c r="CD36" s="64"/>
      <c r="CE36" s="64"/>
      <c r="CF36" s="64"/>
      <c r="CG36" s="64"/>
      <c r="CH36" s="64"/>
    </row>
    <row r="37" spans="1:86" x14ac:dyDescent="0.35">
      <c r="A37" s="60"/>
      <c r="B37" s="111" t="s">
        <v>69</v>
      </c>
      <c r="C37" s="131">
        <f>IF(SUM($I$16:$I$18)&gt;0,"[Error]",H$32*H27)/1000</f>
        <v>0</v>
      </c>
      <c r="D37" s="60"/>
      <c r="E37" s="60"/>
      <c r="F37" s="60"/>
      <c r="G37" s="64"/>
      <c r="H37" s="163">
        <f t="shared" si="9"/>
        <v>0</v>
      </c>
      <c r="I37" s="64"/>
      <c r="J37" s="64"/>
      <c r="K37" s="64"/>
      <c r="L37" s="64"/>
      <c r="M37" s="64"/>
      <c r="N37" s="64"/>
      <c r="O37" s="64"/>
      <c r="P37" s="91" t="s">
        <v>136</v>
      </c>
      <c r="Q37" s="88" t="s">
        <v>115</v>
      </c>
      <c r="R37" s="89">
        <v>35</v>
      </c>
      <c r="S37" s="88" t="s">
        <v>107</v>
      </c>
      <c r="T37" s="93">
        <f>IF(Q37="CO2eq",VLOOKUP(R37,'Emission Factors'!$G$3:$J$18,MATCH(P37,'Emission Factors'!$G$2:$J$2,0),0),IF(Q37="CO",VLOOKUP($R37,'Emission Factors'!$G$19:$J$34,MATCH(P37,'Emission Factors'!$G$2:$J$2,0),0),IF(Q37="PM2.5",VLOOKUP(R37,'Emission Factors'!$G$35:$J$50,MATCH(P37,'Emission Factors'!$G$2:$J$2,0),0),IF(Q37="NOx",VLOOKUP(R37,'Emission Factors'!$G$51:$J$66,MATCH(P37,'Emission Factors'!$G$2:$J$2,0),0),VLOOKUP(R37,'Emission Factors'!$G$67:$J$82,MATCH(P37,'Emission Factors'!$G$2:$J$2,0),0)))))</f>
        <v>0.369452</v>
      </c>
      <c r="U37" s="191">
        <f>IF($Q37="CO2eq",VLOOKUP($R37,'Emission Factors'!$G$88:$J$103,MATCH($P37,'Emission Factors'!$G$87:$J$87,0),0),IF(Q37="CO",VLOOKUP($R37,'Emission Factors'!$G$104:$J$119,MATCH(P37,'Emission Factors'!$G$87:$J$87,0),0),IF(Q37="PM2.5",VLOOKUP(R37,'Emission Factors'!$G$120:$J$135,MATCH(P37,'Emission Factors'!$G$87:$J$87,0),0),IF(Q37="NOx",VLOOKUP(R37,'Emission Factors'!$G$136:$J$151,MATCH(P37,'Emission Factors'!$G$87:$J$87,0),0),VLOOKUP(R37,'Emission Factors'!$G$152:$J$167,MATCH(P37,'Emission Factors'!$G$87:$J$87,0),0)))))</f>
        <v>9.6704999999999999E-2</v>
      </c>
      <c r="V37" s="474">
        <f>IF($Q37="CO2eq",VLOOKUP($R37,'Emission Factors'!$G$173:$J$188,MATCH($P37,'Emission Factors'!$G$87:$J$87,0),0),IF(Q37="CO",VLOOKUP($R37,'Emission Factors'!$G$189:$J$204,MATCH(P37,'Emission Factors'!$G$87:$J$87,0),0),IF(Q37="PM2.5",VLOOKUP(R37,'Emission Factors'!$G$205:$J$220,MATCH(P37,'Emission Factors'!$G$87:$J$87,0),0),IF(Q37="NOx",VLOOKUP(R37,'Emission Factors'!$G$221:$J$236,MATCH(P37,'Emission Factors'!$G$87:$J$87,0),0),VLOOKUP(R37,'Emission Factors'!$G$237:$J$252,MATCH(P37,'Emission Factors'!$G$87:$J$87,0),0)))))</f>
        <v>5.8534599999999999E-2</v>
      </c>
      <c r="W37" s="64"/>
      <c r="X37" s="64"/>
      <c r="Y37" s="64"/>
      <c r="Z37" s="64"/>
      <c r="AA37" s="64"/>
      <c r="AB37" s="64"/>
      <c r="AC37" s="64"/>
      <c r="AD37" s="64"/>
      <c r="AE37" s="64"/>
      <c r="AF37" s="64"/>
      <c r="AG37" s="64"/>
      <c r="AH37" s="64"/>
      <c r="AI37" s="64"/>
      <c r="AJ37" s="64"/>
      <c r="AK37" s="64"/>
      <c r="AL37" s="64"/>
      <c r="AM37" s="64"/>
      <c r="AN37" s="64"/>
      <c r="AO37" s="64"/>
      <c r="AP37" s="64"/>
      <c r="AQ37" s="64"/>
      <c r="AR37" s="64"/>
      <c r="AS37" s="64"/>
      <c r="AT37" s="64"/>
      <c r="AU37" s="64"/>
      <c r="AV37" s="64"/>
      <c r="AW37" s="64"/>
      <c r="AX37" s="64"/>
      <c r="AY37" s="64"/>
      <c r="AZ37" s="64"/>
      <c r="BA37" s="64"/>
      <c r="BB37" s="64"/>
      <c r="BC37" s="64"/>
      <c r="BD37" s="64"/>
      <c r="BE37" s="64"/>
      <c r="BF37" s="64"/>
      <c r="BG37" s="64"/>
      <c r="BH37" s="64"/>
      <c r="BI37" s="64"/>
      <c r="BJ37" s="64"/>
      <c r="BK37" s="64"/>
      <c r="BL37" s="64"/>
      <c r="BM37" s="64"/>
      <c r="BN37" s="64"/>
      <c r="BO37" s="64"/>
      <c r="BP37" s="64"/>
      <c r="BQ37" s="64"/>
      <c r="BR37" s="64"/>
      <c r="BS37" s="64"/>
      <c r="BT37" s="64"/>
      <c r="BU37" s="64"/>
      <c r="BV37" s="64"/>
      <c r="BW37" s="64"/>
      <c r="BX37" s="64"/>
      <c r="BY37" s="64"/>
      <c r="BZ37" s="64"/>
      <c r="CA37" s="64"/>
      <c r="CB37" s="64"/>
      <c r="CC37" s="64"/>
      <c r="CD37" s="64"/>
      <c r="CE37" s="64"/>
      <c r="CF37" s="64"/>
      <c r="CG37" s="64"/>
      <c r="CH37" s="64"/>
    </row>
    <row r="38" spans="1:86" x14ac:dyDescent="0.35">
      <c r="A38" s="1"/>
      <c r="B38" s="1"/>
      <c r="C38" s="1"/>
      <c r="D38" s="1"/>
      <c r="E38" s="1"/>
      <c r="F38" s="1"/>
      <c r="G38" s="64"/>
      <c r="H38" s="64"/>
      <c r="I38" s="64"/>
      <c r="J38" s="64"/>
      <c r="K38" s="64"/>
      <c r="L38" s="64"/>
      <c r="M38" s="64"/>
      <c r="N38" s="64"/>
      <c r="O38" s="64"/>
      <c r="P38" s="64"/>
      <c r="Q38" s="64"/>
      <c r="R38" s="64"/>
      <c r="S38" s="64"/>
      <c r="T38" s="64"/>
      <c r="U38" s="64"/>
      <c r="V38" s="64"/>
      <c r="W38" s="64"/>
      <c r="X38" s="64"/>
      <c r="Y38" s="64"/>
      <c r="Z38" s="64"/>
      <c r="AA38" s="64"/>
      <c r="AB38" s="64"/>
      <c r="AC38" s="64"/>
      <c r="AD38" s="64"/>
      <c r="AE38" s="64"/>
      <c r="AF38" s="64"/>
      <c r="AG38" s="64"/>
      <c r="AH38" s="64"/>
      <c r="AI38" s="64"/>
      <c r="AJ38" s="64"/>
      <c r="AK38" s="64"/>
      <c r="AL38" s="64"/>
      <c r="AM38" s="64"/>
      <c r="AN38" s="64"/>
      <c r="AO38" s="64"/>
      <c r="AP38" s="64"/>
      <c r="AQ38" s="64"/>
      <c r="AR38" s="64"/>
      <c r="AS38" s="64"/>
      <c r="AT38" s="64"/>
      <c r="AU38" s="64"/>
      <c r="AV38" s="64"/>
      <c r="AW38" s="64"/>
      <c r="AX38" s="64"/>
      <c r="AY38" s="64"/>
      <c r="AZ38" s="64"/>
      <c r="BA38" s="64"/>
      <c r="BB38" s="64"/>
      <c r="BC38" s="64"/>
      <c r="BD38" s="64"/>
      <c r="BE38" s="64"/>
      <c r="BF38" s="64"/>
      <c r="BG38" s="64"/>
      <c r="BH38" s="64"/>
      <c r="BI38" s="64"/>
      <c r="BJ38" s="64"/>
      <c r="BK38" s="64"/>
      <c r="BL38" s="64"/>
      <c r="BM38" s="64"/>
      <c r="BN38" s="64"/>
      <c r="BO38" s="64"/>
      <c r="BP38" s="64"/>
      <c r="BQ38" s="64"/>
      <c r="BR38" s="64"/>
      <c r="BS38" s="64"/>
      <c r="BT38" s="64"/>
      <c r="BU38" s="64"/>
      <c r="BV38" s="64"/>
      <c r="BW38" s="64"/>
      <c r="BX38" s="64"/>
      <c r="BY38" s="64"/>
      <c r="BZ38" s="64"/>
      <c r="CA38" s="64"/>
      <c r="CB38" s="64"/>
      <c r="CC38" s="64"/>
      <c r="CD38" s="64"/>
      <c r="CE38" s="64"/>
      <c r="CF38" s="64"/>
      <c r="CG38" s="64"/>
      <c r="CH38" s="64"/>
    </row>
    <row r="39" spans="1:86" x14ac:dyDescent="0.35">
      <c r="A39" s="64"/>
      <c r="B39" s="64"/>
      <c r="C39" s="64"/>
      <c r="D39" s="64"/>
      <c r="E39" s="64"/>
      <c r="F39" s="64"/>
      <c r="G39" s="64"/>
      <c r="H39" s="64"/>
      <c r="I39" s="64"/>
      <c r="J39" s="64"/>
      <c r="K39" s="64"/>
      <c r="L39" s="64"/>
      <c r="M39" s="64"/>
      <c r="N39" s="64"/>
      <c r="O39" s="64"/>
      <c r="P39" s="64"/>
      <c r="Q39" s="64"/>
      <c r="R39" s="64"/>
      <c r="S39" s="64"/>
      <c r="T39" s="64"/>
      <c r="U39" s="64"/>
      <c r="V39" s="64"/>
      <c r="W39" s="64"/>
      <c r="X39" s="64"/>
      <c r="Y39" s="64"/>
      <c r="Z39" s="64"/>
      <c r="AA39" s="64"/>
      <c r="AB39" s="64"/>
      <c r="AC39" s="64"/>
      <c r="AD39" s="64"/>
      <c r="AE39" s="64"/>
      <c r="AF39" s="64"/>
      <c r="AG39" s="64"/>
      <c r="AH39" s="64"/>
      <c r="AI39" s="64"/>
      <c r="AJ39" s="64"/>
      <c r="AK39" s="64"/>
      <c r="AL39" s="64"/>
      <c r="AM39" s="64"/>
      <c r="AN39" s="64"/>
      <c r="AO39" s="64"/>
      <c r="AP39" s="64"/>
      <c r="AQ39" s="64"/>
      <c r="AR39" s="64"/>
      <c r="AS39" s="64"/>
      <c r="AT39" s="64"/>
      <c r="AU39" s="64"/>
      <c r="AV39" s="64"/>
      <c r="AW39" s="64"/>
      <c r="AX39" s="64"/>
      <c r="AY39" s="64"/>
      <c r="AZ39" s="64"/>
      <c r="BA39" s="64"/>
      <c r="BB39" s="64"/>
      <c r="BC39" s="64"/>
      <c r="BD39" s="64"/>
      <c r="BE39" s="64"/>
      <c r="BF39" s="64"/>
      <c r="BG39" s="64"/>
      <c r="BH39" s="64"/>
      <c r="BI39" s="64"/>
      <c r="BJ39" s="64"/>
      <c r="BK39" s="64"/>
      <c r="BL39" s="64"/>
      <c r="BM39" s="64"/>
      <c r="BN39" s="64"/>
      <c r="BO39" s="64"/>
      <c r="BP39" s="64"/>
      <c r="BQ39" s="64"/>
      <c r="BR39" s="64"/>
      <c r="BS39" s="64"/>
      <c r="BT39" s="64"/>
      <c r="BU39" s="64"/>
      <c r="BV39" s="64"/>
      <c r="BW39" s="64"/>
      <c r="BX39" s="64"/>
      <c r="BY39" s="64"/>
      <c r="BZ39" s="64"/>
      <c r="CA39" s="64"/>
      <c r="CB39" s="64"/>
      <c r="CC39" s="64"/>
      <c r="CD39" s="64"/>
      <c r="CE39" s="64"/>
      <c r="CF39" s="64"/>
      <c r="CG39" s="64"/>
      <c r="CH39" s="64"/>
    </row>
    <row r="40" spans="1:86" x14ac:dyDescent="0.35">
      <c r="A40" s="64"/>
      <c r="B40" s="64"/>
      <c r="C40" s="64"/>
      <c r="D40" s="64"/>
      <c r="E40" s="64"/>
      <c r="F40" s="64"/>
      <c r="G40" s="64"/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4"/>
      <c r="BM40" s="64"/>
      <c r="BN40" s="64"/>
      <c r="BO40" s="64"/>
      <c r="BP40" s="64"/>
      <c r="BQ40" s="64"/>
      <c r="BR40" s="64"/>
      <c r="BS40" s="64"/>
      <c r="BT40" s="64"/>
      <c r="BU40" s="64"/>
      <c r="BV40" s="64"/>
      <c r="BW40" s="64"/>
      <c r="BX40" s="64"/>
      <c r="BY40" s="64"/>
      <c r="BZ40" s="64"/>
      <c r="CA40" s="64"/>
      <c r="CB40" s="64"/>
      <c r="CC40" s="64"/>
      <c r="CD40" s="64"/>
      <c r="CE40" s="64"/>
      <c r="CF40" s="64"/>
      <c r="CG40" s="64"/>
      <c r="CH40" s="64"/>
    </row>
    <row r="41" spans="1:86" x14ac:dyDescent="0.35">
      <c r="A41" s="64"/>
      <c r="B41" s="64"/>
      <c r="C41" s="64"/>
      <c r="D41" s="64"/>
      <c r="E41" s="64"/>
      <c r="F41" s="64"/>
      <c r="G41" s="64"/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4"/>
      <c r="AD41" s="64"/>
      <c r="AE41" s="64"/>
      <c r="AF41" s="64"/>
      <c r="AG41" s="64"/>
      <c r="AH41" s="64"/>
      <c r="AI41" s="64"/>
      <c r="AJ41" s="64"/>
      <c r="AK41" s="64"/>
      <c r="AL41" s="64"/>
      <c r="AM41" s="64"/>
      <c r="AN41" s="64"/>
      <c r="AO41" s="64"/>
      <c r="AP41" s="64"/>
      <c r="AQ41" s="64"/>
      <c r="AR41" s="64"/>
      <c r="AS41" s="64"/>
      <c r="AT41" s="64"/>
      <c r="AU41" s="64"/>
      <c r="AV41" s="64"/>
      <c r="AW41" s="64"/>
      <c r="AX41" s="64"/>
      <c r="AY41" s="64"/>
      <c r="AZ41" s="64"/>
      <c r="BA41" s="64"/>
      <c r="BB41" s="64"/>
      <c r="BC41" s="64"/>
      <c r="BD41" s="64"/>
      <c r="BE41" s="64"/>
      <c r="BF41" s="64"/>
      <c r="BG41" s="64"/>
      <c r="BH41" s="64"/>
      <c r="BI41" s="64"/>
      <c r="BJ41" s="64"/>
      <c r="BK41" s="64"/>
      <c r="BL41" s="64"/>
      <c r="BM41" s="64"/>
      <c r="BN41" s="64"/>
      <c r="BO41" s="64"/>
      <c r="BP41" s="64"/>
      <c r="BQ41" s="64"/>
      <c r="BR41" s="64"/>
      <c r="BS41" s="64"/>
      <c r="BT41" s="64"/>
      <c r="BU41" s="64"/>
      <c r="BV41" s="64"/>
      <c r="BW41" s="64"/>
      <c r="BX41" s="64"/>
      <c r="BY41" s="64"/>
      <c r="BZ41" s="64"/>
      <c r="CA41" s="64"/>
      <c r="CB41" s="64"/>
      <c r="CC41" s="64"/>
      <c r="CD41" s="64"/>
      <c r="CE41" s="64"/>
      <c r="CF41" s="64"/>
      <c r="CG41" s="64"/>
      <c r="CH41" s="64"/>
    </row>
    <row r="42" spans="1:86" x14ac:dyDescent="0.35">
      <c r="A42" s="64"/>
      <c r="B42" s="64"/>
      <c r="C42" s="64"/>
      <c r="D42" s="64"/>
      <c r="E42" s="64"/>
      <c r="F42" s="64"/>
      <c r="G42" s="64"/>
      <c r="H42" s="64"/>
      <c r="I42" s="64"/>
      <c r="J42" s="64"/>
      <c r="K42" s="64"/>
      <c r="L42" s="64"/>
      <c r="M42" s="64"/>
      <c r="N42" s="64"/>
      <c r="O42" s="64"/>
      <c r="P42" s="64"/>
      <c r="Q42" s="64"/>
      <c r="R42" s="64"/>
      <c r="S42" s="64"/>
      <c r="T42" s="64"/>
      <c r="U42" s="64"/>
      <c r="V42" s="64"/>
      <c r="W42" s="64"/>
      <c r="X42" s="64"/>
      <c r="Y42" s="64"/>
      <c r="Z42" s="64"/>
      <c r="AA42" s="64"/>
      <c r="AB42" s="64"/>
      <c r="AC42" s="64"/>
      <c r="AD42" s="64"/>
      <c r="AE42" s="64"/>
      <c r="AF42" s="64"/>
      <c r="AG42" s="64"/>
      <c r="AH42" s="64"/>
      <c r="AI42" s="64"/>
      <c r="AJ42" s="64"/>
      <c r="AK42" s="64"/>
      <c r="AL42" s="64"/>
      <c r="AM42" s="64"/>
      <c r="AN42" s="64"/>
      <c r="AO42" s="64"/>
      <c r="AP42" s="64"/>
      <c r="AQ42" s="64"/>
      <c r="AR42" s="64"/>
      <c r="AS42" s="64"/>
      <c r="AT42" s="64"/>
      <c r="AU42" s="64"/>
      <c r="AV42" s="64"/>
      <c r="AW42" s="64"/>
      <c r="AX42" s="64"/>
      <c r="AY42" s="64"/>
      <c r="AZ42" s="64"/>
      <c r="BA42" s="64"/>
      <c r="BB42" s="64"/>
      <c r="BC42" s="64"/>
      <c r="BD42" s="64"/>
      <c r="BE42" s="64"/>
      <c r="BF42" s="64"/>
      <c r="BG42" s="64"/>
      <c r="BH42" s="64"/>
      <c r="BI42" s="64"/>
      <c r="BJ42" s="64"/>
      <c r="BK42" s="64"/>
      <c r="BL42" s="64"/>
      <c r="BM42" s="64"/>
      <c r="BN42" s="64"/>
      <c r="BO42" s="64"/>
      <c r="BP42" s="64"/>
      <c r="BQ42" s="64"/>
      <c r="BR42" s="64"/>
      <c r="BS42" s="64"/>
      <c r="BT42" s="64"/>
      <c r="BU42" s="64"/>
      <c r="BV42" s="64"/>
      <c r="BW42" s="64"/>
      <c r="BX42" s="64"/>
      <c r="BY42" s="64"/>
      <c r="BZ42" s="64"/>
      <c r="CA42" s="64"/>
      <c r="CB42" s="64"/>
      <c r="CC42" s="64"/>
      <c r="CD42" s="64"/>
      <c r="CE42" s="64"/>
      <c r="CF42" s="64"/>
      <c r="CG42" s="64"/>
      <c r="CH42" s="64"/>
    </row>
    <row r="43" spans="1:86" x14ac:dyDescent="0.35">
      <c r="A43" s="64"/>
      <c r="B43" s="64"/>
      <c r="C43" s="64"/>
      <c r="D43" s="64"/>
      <c r="E43" s="64"/>
      <c r="F43" s="64"/>
      <c r="G43" s="64"/>
      <c r="H43" s="64"/>
      <c r="I43" s="64"/>
      <c r="J43" s="64"/>
      <c r="K43" s="64"/>
      <c r="L43" s="64"/>
      <c r="M43" s="64"/>
      <c r="N43" s="64"/>
      <c r="O43" s="64"/>
      <c r="P43" s="64"/>
      <c r="Q43" s="64"/>
      <c r="R43" s="64"/>
      <c r="S43" s="64"/>
      <c r="T43" s="64"/>
      <c r="U43" s="64"/>
      <c r="V43" s="64"/>
      <c r="W43" s="64"/>
      <c r="X43" s="64"/>
      <c r="Y43" s="64"/>
      <c r="Z43" s="64"/>
      <c r="AA43" s="64"/>
      <c r="AB43" s="64"/>
      <c r="AC43" s="64"/>
      <c r="AD43" s="64"/>
      <c r="AE43" s="64"/>
      <c r="AF43" s="64"/>
      <c r="AG43" s="64"/>
      <c r="AH43" s="64"/>
      <c r="AI43" s="64"/>
      <c r="AJ43" s="64"/>
      <c r="AK43" s="64"/>
      <c r="AL43" s="64"/>
      <c r="AM43" s="64"/>
      <c r="AN43" s="64"/>
      <c r="AO43" s="64"/>
      <c r="AP43" s="64"/>
      <c r="AQ43" s="64"/>
      <c r="AR43" s="64"/>
      <c r="AS43" s="64"/>
      <c r="AT43" s="64"/>
      <c r="AU43" s="64"/>
      <c r="AV43" s="64"/>
      <c r="AW43" s="64"/>
      <c r="AX43" s="64"/>
      <c r="AY43" s="64"/>
      <c r="AZ43" s="64"/>
      <c r="BA43" s="64"/>
      <c r="BB43" s="64"/>
      <c r="BC43" s="64"/>
      <c r="BD43" s="64"/>
      <c r="BE43" s="64"/>
      <c r="BF43" s="64"/>
      <c r="BG43" s="64"/>
      <c r="BH43" s="64"/>
      <c r="BI43" s="64"/>
      <c r="BJ43" s="64"/>
      <c r="BK43" s="64"/>
      <c r="BL43" s="64"/>
      <c r="BM43" s="64"/>
      <c r="BN43" s="64"/>
      <c r="BO43" s="64"/>
      <c r="BP43" s="64"/>
      <c r="BQ43" s="64"/>
      <c r="BR43" s="64"/>
      <c r="BS43" s="64"/>
      <c r="BT43" s="64"/>
      <c r="BU43" s="64"/>
      <c r="BV43" s="64"/>
      <c r="BW43" s="64"/>
      <c r="BX43" s="64"/>
      <c r="BY43" s="64"/>
      <c r="BZ43" s="64"/>
      <c r="CA43" s="64"/>
      <c r="CB43" s="64"/>
      <c r="CC43" s="64"/>
      <c r="CD43" s="64"/>
      <c r="CE43" s="64"/>
      <c r="CF43" s="64"/>
      <c r="CG43" s="64"/>
      <c r="CH43" s="64"/>
    </row>
    <row r="44" spans="1:86" x14ac:dyDescent="0.35">
      <c r="A44" s="64"/>
      <c r="B44" s="64"/>
      <c r="C44" s="64"/>
      <c r="D44" s="64"/>
      <c r="E44" s="64"/>
      <c r="F44" s="64"/>
      <c r="G44" s="64"/>
      <c r="H44" s="64"/>
      <c r="I44" s="64"/>
      <c r="J44" s="64"/>
      <c r="K44" s="64"/>
      <c r="L44" s="64"/>
      <c r="M44" s="64"/>
      <c r="N44" s="64"/>
      <c r="O44" s="64"/>
      <c r="P44" s="64"/>
      <c r="Q44" s="64"/>
      <c r="R44" s="64"/>
      <c r="S44" s="64"/>
      <c r="T44" s="64"/>
      <c r="U44" s="64"/>
      <c r="V44" s="64"/>
      <c r="W44" s="64"/>
      <c r="X44" s="64"/>
      <c r="Y44" s="64"/>
      <c r="Z44" s="64"/>
      <c r="AA44" s="64"/>
      <c r="AB44" s="64"/>
      <c r="AC44" s="64"/>
      <c r="AD44" s="64"/>
      <c r="AE44" s="64"/>
      <c r="AF44" s="64"/>
      <c r="AG44" s="64"/>
      <c r="AH44" s="64"/>
      <c r="AI44" s="64"/>
      <c r="AJ44" s="64"/>
      <c r="AK44" s="64"/>
      <c r="AL44" s="64"/>
      <c r="AM44" s="64"/>
      <c r="AN44" s="64"/>
      <c r="AO44" s="64"/>
      <c r="AP44" s="64"/>
      <c r="AQ44" s="64"/>
      <c r="AR44" s="64"/>
      <c r="AS44" s="64"/>
      <c r="AT44" s="64"/>
      <c r="AU44" s="64"/>
      <c r="AV44" s="64"/>
      <c r="AW44" s="64"/>
      <c r="AX44" s="64"/>
      <c r="AY44" s="64"/>
      <c r="AZ44" s="64"/>
      <c r="BA44" s="64"/>
      <c r="BB44" s="64"/>
      <c r="BC44" s="64"/>
      <c r="BD44" s="64"/>
      <c r="BE44" s="64"/>
      <c r="BF44" s="64"/>
      <c r="BG44" s="64"/>
      <c r="BH44" s="64"/>
      <c r="BI44" s="64"/>
      <c r="BJ44" s="64"/>
      <c r="BK44" s="64"/>
      <c r="BL44" s="64"/>
      <c r="BM44" s="64"/>
      <c r="BN44" s="64"/>
      <c r="BO44" s="64"/>
      <c r="BP44" s="64"/>
      <c r="BQ44" s="64"/>
      <c r="BR44" s="64"/>
      <c r="BS44" s="64"/>
      <c r="BT44" s="64"/>
      <c r="BU44" s="64"/>
      <c r="BV44" s="64"/>
      <c r="BW44" s="64"/>
      <c r="BX44" s="64"/>
      <c r="BY44" s="64"/>
      <c r="BZ44" s="64"/>
      <c r="CA44" s="64"/>
      <c r="CB44" s="64"/>
      <c r="CC44" s="64"/>
      <c r="CD44" s="64"/>
      <c r="CE44" s="64"/>
      <c r="CF44" s="64"/>
      <c r="CG44" s="64"/>
      <c r="CH44" s="64"/>
    </row>
    <row r="45" spans="1:86" x14ac:dyDescent="0.35">
      <c r="A45" s="64"/>
      <c r="B45" s="64"/>
      <c r="C45" s="64"/>
      <c r="D45" s="64"/>
      <c r="E45" s="64"/>
      <c r="F45" s="64"/>
      <c r="G45" s="64"/>
      <c r="H45" s="64"/>
      <c r="I45" s="64"/>
      <c r="J45" s="64"/>
      <c r="K45" s="64"/>
      <c r="L45" s="64"/>
      <c r="M45" s="64"/>
      <c r="N45" s="64"/>
      <c r="O45" s="64"/>
      <c r="P45" s="64"/>
      <c r="Q45" s="64"/>
      <c r="R45" s="64"/>
      <c r="S45" s="64"/>
      <c r="T45" s="64"/>
      <c r="U45" s="64"/>
      <c r="V45" s="64"/>
      <c r="W45" s="64"/>
      <c r="X45" s="64"/>
      <c r="Y45" s="64"/>
      <c r="Z45" s="64"/>
      <c r="AA45" s="64"/>
      <c r="AB45" s="64"/>
      <c r="AC45" s="64"/>
      <c r="AD45" s="64"/>
      <c r="AE45" s="64"/>
      <c r="AF45" s="64"/>
      <c r="AG45" s="64"/>
      <c r="AH45" s="64"/>
      <c r="AI45" s="64"/>
      <c r="AJ45" s="64"/>
      <c r="AK45" s="64"/>
      <c r="AL45" s="64"/>
      <c r="AM45" s="64"/>
      <c r="AN45" s="64"/>
      <c r="AO45" s="64"/>
      <c r="AP45" s="64"/>
      <c r="AQ45" s="64"/>
      <c r="AR45" s="64"/>
      <c r="AS45" s="64"/>
      <c r="AT45" s="64"/>
      <c r="AU45" s="64"/>
      <c r="AV45" s="64"/>
      <c r="AW45" s="64"/>
      <c r="AX45" s="64"/>
      <c r="AY45" s="64"/>
      <c r="AZ45" s="64"/>
      <c r="BA45" s="64"/>
      <c r="BB45" s="64"/>
      <c r="BC45" s="64"/>
      <c r="BD45" s="64"/>
      <c r="BE45" s="64"/>
      <c r="BF45" s="64"/>
      <c r="BG45" s="64"/>
      <c r="BH45" s="64"/>
      <c r="BI45" s="64"/>
      <c r="BJ45" s="64"/>
      <c r="BK45" s="64"/>
      <c r="BL45" s="64"/>
      <c r="BM45" s="64"/>
      <c r="BN45" s="64"/>
      <c r="BO45" s="64"/>
      <c r="BP45" s="64"/>
      <c r="BQ45" s="64"/>
      <c r="BR45" s="64"/>
      <c r="BS45" s="64"/>
      <c r="BT45" s="64"/>
      <c r="BU45" s="64"/>
      <c r="BV45" s="64"/>
      <c r="BW45" s="64"/>
      <c r="BX45" s="64"/>
      <c r="BY45" s="64"/>
      <c r="BZ45" s="64"/>
      <c r="CA45" s="64"/>
      <c r="CB45" s="64"/>
      <c r="CC45" s="64"/>
      <c r="CD45" s="64"/>
      <c r="CE45" s="64"/>
      <c r="CF45" s="64"/>
      <c r="CG45" s="64"/>
      <c r="CH45" s="64"/>
    </row>
    <row r="46" spans="1:86" x14ac:dyDescent="0.35">
      <c r="A46" s="64"/>
      <c r="B46" s="64"/>
      <c r="C46" s="64"/>
      <c r="D46" s="64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4"/>
      <c r="AC46" s="64"/>
      <c r="AD46" s="64"/>
      <c r="AE46" s="64"/>
      <c r="AF46" s="64"/>
      <c r="AG46" s="64"/>
      <c r="AH46" s="64"/>
      <c r="AI46" s="64"/>
      <c r="AJ46" s="64"/>
      <c r="AK46" s="64"/>
      <c r="AL46" s="64"/>
      <c r="AM46" s="64"/>
      <c r="AN46" s="64"/>
      <c r="AO46" s="64"/>
      <c r="AP46" s="64"/>
      <c r="AQ46" s="64"/>
      <c r="AR46" s="64"/>
      <c r="AS46" s="64"/>
      <c r="AT46" s="64"/>
      <c r="AU46" s="64"/>
      <c r="AV46" s="64"/>
      <c r="AW46" s="64"/>
      <c r="AX46" s="64"/>
      <c r="AY46" s="64"/>
      <c r="AZ46" s="64"/>
      <c r="BA46" s="64"/>
      <c r="BB46" s="64"/>
      <c r="BC46" s="64"/>
      <c r="BD46" s="64"/>
      <c r="BE46" s="64"/>
      <c r="BF46" s="64"/>
      <c r="BG46" s="64"/>
      <c r="BH46" s="64"/>
      <c r="BI46" s="64"/>
      <c r="BJ46" s="64"/>
      <c r="BK46" s="64"/>
      <c r="BL46" s="64"/>
      <c r="BM46" s="64"/>
      <c r="BN46" s="64"/>
      <c r="BO46" s="64"/>
      <c r="BP46" s="64"/>
      <c r="BQ46" s="64"/>
      <c r="BR46" s="64"/>
      <c r="BS46" s="64"/>
      <c r="BT46" s="64"/>
      <c r="BU46" s="64"/>
      <c r="BV46" s="64"/>
      <c r="BW46" s="64"/>
      <c r="BX46" s="64"/>
      <c r="BY46" s="64"/>
      <c r="BZ46" s="64"/>
      <c r="CA46" s="64"/>
      <c r="CB46" s="64"/>
      <c r="CC46" s="64"/>
      <c r="CD46" s="64"/>
      <c r="CE46" s="64"/>
      <c r="CF46" s="64"/>
      <c r="CG46" s="64"/>
      <c r="CH46" s="64"/>
    </row>
    <row r="47" spans="1:86" x14ac:dyDescent="0.35">
      <c r="A47" s="64"/>
      <c r="B47" s="64"/>
      <c r="C47" s="64"/>
      <c r="D47" s="64"/>
      <c r="E47" s="64"/>
      <c r="F47" s="64"/>
      <c r="G47" s="64"/>
      <c r="H47" s="64"/>
      <c r="I47" s="64"/>
      <c r="J47" s="64"/>
      <c r="K47" s="64"/>
      <c r="L47" s="64"/>
      <c r="M47" s="64"/>
      <c r="N47" s="65"/>
      <c r="O47" s="65"/>
      <c r="P47" s="64"/>
      <c r="Q47" s="64"/>
      <c r="R47" s="64"/>
      <c r="S47" s="64"/>
      <c r="T47" s="64"/>
      <c r="U47" s="64"/>
      <c r="V47" s="65"/>
      <c r="W47" s="65"/>
      <c r="X47" s="65"/>
      <c r="Y47" s="65"/>
      <c r="Z47" s="64"/>
      <c r="AA47" s="64"/>
      <c r="AB47" s="64"/>
      <c r="AC47" s="64"/>
      <c r="AD47" s="64"/>
      <c r="AE47" s="64"/>
      <c r="AF47" s="64"/>
      <c r="AG47" s="64"/>
      <c r="AH47" s="64"/>
      <c r="AI47" s="64"/>
      <c r="AJ47" s="64"/>
      <c r="AK47" s="64"/>
      <c r="AL47" s="64"/>
      <c r="AM47" s="64"/>
      <c r="AN47" s="64"/>
      <c r="AO47" s="64"/>
      <c r="AP47" s="64"/>
      <c r="AQ47" s="64"/>
      <c r="AR47" s="64"/>
      <c r="AS47" s="64"/>
      <c r="AT47" s="64"/>
      <c r="AU47" s="64"/>
      <c r="AV47" s="64"/>
      <c r="AW47" s="64"/>
      <c r="AX47" s="64"/>
      <c r="AY47" s="64"/>
      <c r="AZ47" s="64"/>
      <c r="BA47" s="64"/>
      <c r="BB47" s="64"/>
      <c r="BC47" s="64"/>
      <c r="BD47" s="64"/>
      <c r="BE47" s="64"/>
      <c r="BF47" s="64"/>
      <c r="BG47" s="64"/>
      <c r="BH47" s="64"/>
      <c r="BI47" s="64"/>
      <c r="BJ47" s="64"/>
      <c r="BK47" s="64"/>
      <c r="BL47" s="64"/>
      <c r="BM47" s="64"/>
      <c r="BN47" s="64"/>
      <c r="BO47" s="64"/>
      <c r="BP47" s="64"/>
      <c r="BQ47" s="64"/>
      <c r="BR47" s="64"/>
      <c r="BS47" s="64"/>
      <c r="BT47" s="64"/>
      <c r="BU47" s="64"/>
      <c r="BV47" s="64"/>
      <c r="BW47" s="64"/>
      <c r="BX47" s="64"/>
      <c r="BY47" s="64"/>
      <c r="BZ47" s="64"/>
      <c r="CA47" s="64"/>
      <c r="CB47" s="64"/>
      <c r="CC47" s="64"/>
      <c r="CD47" s="64"/>
      <c r="CE47" s="64"/>
      <c r="CF47" s="64"/>
      <c r="CG47" s="64"/>
      <c r="CH47" s="64"/>
    </row>
    <row r="48" spans="1:86" x14ac:dyDescent="0.35">
      <c r="A48" s="64"/>
      <c r="B48" s="64"/>
      <c r="C48" s="64"/>
      <c r="D48" s="64"/>
      <c r="E48" s="64"/>
      <c r="F48" s="64"/>
      <c r="G48" s="64"/>
      <c r="H48" s="64"/>
      <c r="I48" s="64"/>
      <c r="J48" s="64"/>
      <c r="K48" s="64"/>
      <c r="L48" s="65"/>
      <c r="M48" s="65"/>
      <c r="N48" s="65"/>
      <c r="O48" s="65"/>
      <c r="P48" s="64"/>
      <c r="Q48" s="64"/>
      <c r="R48" s="64"/>
      <c r="S48" s="64"/>
      <c r="T48" s="64"/>
      <c r="U48" s="64"/>
      <c r="V48" s="65"/>
      <c r="W48" s="65"/>
      <c r="X48" s="65"/>
      <c r="Y48" s="65"/>
      <c r="Z48" s="64"/>
      <c r="AA48" s="64"/>
      <c r="AB48" s="64"/>
      <c r="AC48" s="64"/>
      <c r="AD48" s="64"/>
      <c r="AE48" s="64"/>
      <c r="AF48" s="64"/>
      <c r="AG48" s="64"/>
      <c r="AH48" s="64"/>
      <c r="AI48" s="64"/>
      <c r="AJ48" s="64"/>
      <c r="AK48" s="64"/>
      <c r="AL48" s="64"/>
      <c r="AM48" s="64"/>
      <c r="AN48" s="64"/>
      <c r="AO48" s="64"/>
      <c r="AP48" s="64"/>
      <c r="AQ48" s="64"/>
      <c r="AR48" s="64"/>
      <c r="AS48" s="64"/>
      <c r="AT48" s="64"/>
      <c r="AU48" s="64"/>
      <c r="AV48" s="64"/>
      <c r="AW48" s="64"/>
      <c r="AX48" s="64"/>
      <c r="AY48" s="64"/>
      <c r="AZ48" s="64"/>
      <c r="BA48" s="64"/>
      <c r="BB48" s="64"/>
      <c r="BC48" s="64"/>
      <c r="BD48" s="64"/>
      <c r="BE48" s="64"/>
      <c r="BF48" s="64"/>
      <c r="BG48" s="64"/>
      <c r="BH48" s="64"/>
      <c r="BI48" s="64"/>
      <c r="BJ48" s="64"/>
      <c r="BK48" s="64"/>
      <c r="BL48" s="64"/>
      <c r="BM48" s="64"/>
      <c r="BN48" s="64"/>
      <c r="BO48" s="64"/>
      <c r="BP48" s="64"/>
      <c r="BQ48" s="64"/>
      <c r="BR48" s="64"/>
      <c r="BS48" s="64"/>
      <c r="BT48" s="64"/>
      <c r="BU48" s="64"/>
      <c r="BV48" s="64"/>
      <c r="BW48" s="64"/>
      <c r="BX48" s="64"/>
      <c r="BY48" s="64"/>
      <c r="BZ48" s="64"/>
      <c r="CA48" s="64"/>
      <c r="CB48" s="64"/>
      <c r="CC48" s="64"/>
      <c r="CD48" s="64"/>
      <c r="CE48" s="64"/>
      <c r="CF48" s="64"/>
      <c r="CG48" s="64"/>
      <c r="CH48" s="64"/>
    </row>
    <row r="49" spans="1:86" x14ac:dyDescent="0.35">
      <c r="A49" s="64"/>
      <c r="B49" s="64"/>
      <c r="C49" s="64"/>
      <c r="D49" s="64"/>
      <c r="E49" s="64"/>
      <c r="F49" s="64"/>
      <c r="G49" s="64"/>
      <c r="H49" s="64"/>
      <c r="I49" s="64"/>
      <c r="J49" s="64"/>
      <c r="K49" s="64"/>
      <c r="L49" s="64"/>
      <c r="M49" s="64"/>
      <c r="N49" s="64"/>
      <c r="O49" s="64"/>
      <c r="P49" s="64"/>
      <c r="Q49" s="64"/>
      <c r="R49" s="64"/>
      <c r="S49" s="64"/>
      <c r="T49" s="64"/>
      <c r="U49" s="64"/>
      <c r="V49" s="64"/>
      <c r="W49" s="64"/>
      <c r="X49" s="64"/>
      <c r="Y49" s="64"/>
      <c r="Z49" s="64"/>
      <c r="AA49" s="64"/>
      <c r="AB49" s="64"/>
      <c r="AC49" s="64"/>
      <c r="AD49" s="64"/>
      <c r="AE49" s="64"/>
      <c r="AF49" s="64"/>
      <c r="AG49" s="64"/>
      <c r="AH49" s="64"/>
      <c r="AI49" s="64"/>
      <c r="AJ49" s="64"/>
      <c r="AK49" s="64"/>
      <c r="AL49" s="64"/>
      <c r="AM49" s="64"/>
      <c r="AN49" s="64"/>
      <c r="AO49" s="64"/>
      <c r="AP49" s="64"/>
      <c r="AQ49" s="64"/>
      <c r="AR49" s="64"/>
      <c r="AS49" s="64"/>
      <c r="AT49" s="64"/>
      <c r="AU49" s="64"/>
      <c r="AV49" s="64"/>
      <c r="AW49" s="64"/>
      <c r="AX49" s="64"/>
      <c r="AY49" s="64"/>
      <c r="AZ49" s="64"/>
      <c r="BA49" s="64"/>
      <c r="BB49" s="64"/>
      <c r="BC49" s="64"/>
      <c r="BD49" s="64"/>
      <c r="BE49" s="64"/>
      <c r="BF49" s="64"/>
      <c r="BG49" s="64"/>
      <c r="BH49" s="64"/>
      <c r="BI49" s="64"/>
      <c r="BJ49" s="64"/>
      <c r="BK49" s="64"/>
      <c r="BL49" s="64"/>
      <c r="BM49" s="64"/>
      <c r="BN49" s="64"/>
      <c r="BO49" s="64"/>
      <c r="BP49" s="64"/>
      <c r="BQ49" s="64"/>
      <c r="BR49" s="64"/>
      <c r="BS49" s="64"/>
      <c r="BT49" s="64"/>
      <c r="BU49" s="64"/>
      <c r="BV49" s="64"/>
      <c r="BW49" s="64"/>
      <c r="BX49" s="64"/>
      <c r="BY49" s="64"/>
      <c r="BZ49" s="64"/>
      <c r="CA49" s="64"/>
      <c r="CB49" s="64"/>
      <c r="CC49" s="64"/>
      <c r="CD49" s="64"/>
      <c r="CE49" s="64"/>
      <c r="CF49" s="64"/>
      <c r="CG49" s="64"/>
      <c r="CH49" s="64"/>
    </row>
    <row r="50" spans="1:86" x14ac:dyDescent="0.35">
      <c r="A50" s="64"/>
      <c r="B50" s="64"/>
      <c r="C50" s="64"/>
      <c r="D50" s="64"/>
      <c r="E50" s="64"/>
      <c r="F50" s="64"/>
      <c r="G50" s="64"/>
      <c r="H50" s="64"/>
      <c r="I50" s="64"/>
      <c r="J50" s="64"/>
      <c r="K50" s="64"/>
      <c r="L50" s="64"/>
      <c r="M50" s="64"/>
      <c r="N50" s="64"/>
      <c r="O50" s="64"/>
      <c r="P50" s="64"/>
      <c r="Q50" s="64"/>
      <c r="R50" s="64"/>
      <c r="S50" s="64"/>
      <c r="T50" s="64"/>
      <c r="U50" s="64"/>
      <c r="V50" s="64"/>
      <c r="W50" s="64"/>
      <c r="X50" s="64"/>
      <c r="Y50" s="64"/>
      <c r="Z50" s="64"/>
      <c r="AA50" s="64"/>
      <c r="AB50" s="64"/>
      <c r="AC50" s="64"/>
      <c r="AD50" s="64"/>
      <c r="AE50" s="64"/>
      <c r="AF50" s="64"/>
      <c r="AG50" s="64"/>
      <c r="AH50" s="64"/>
      <c r="AI50" s="64"/>
      <c r="AJ50" s="64"/>
      <c r="AK50" s="64"/>
      <c r="AL50" s="64"/>
      <c r="AM50" s="64"/>
      <c r="AN50" s="64"/>
      <c r="AO50" s="64"/>
      <c r="AP50" s="64"/>
      <c r="AQ50" s="64"/>
      <c r="AR50" s="64"/>
      <c r="AS50" s="64"/>
      <c r="AT50" s="64"/>
      <c r="AU50" s="64"/>
      <c r="AV50" s="64"/>
      <c r="AW50" s="64"/>
      <c r="AX50" s="64"/>
      <c r="AY50" s="64"/>
      <c r="AZ50" s="64"/>
      <c r="BA50" s="64"/>
      <c r="BB50" s="64"/>
      <c r="BC50" s="64"/>
      <c r="BD50" s="64"/>
      <c r="BE50" s="64"/>
      <c r="BF50" s="64"/>
      <c r="BG50" s="64"/>
      <c r="BH50" s="64"/>
      <c r="BI50" s="64"/>
      <c r="BJ50" s="64"/>
      <c r="BK50" s="64"/>
      <c r="BL50" s="64"/>
      <c r="BM50" s="64"/>
      <c r="BN50" s="64"/>
      <c r="BO50" s="64"/>
      <c r="BP50" s="64"/>
      <c r="BQ50" s="64"/>
      <c r="BR50" s="64"/>
      <c r="BS50" s="64"/>
      <c r="BT50" s="64"/>
      <c r="BU50" s="64"/>
      <c r="BV50" s="64"/>
      <c r="BW50" s="64"/>
      <c r="BX50" s="64"/>
      <c r="BY50" s="64"/>
      <c r="BZ50" s="64"/>
      <c r="CA50" s="64"/>
      <c r="CB50" s="64"/>
      <c r="CC50" s="64"/>
      <c r="CD50" s="64"/>
      <c r="CE50" s="64"/>
      <c r="CF50" s="64"/>
      <c r="CG50" s="64"/>
      <c r="CH50" s="64"/>
    </row>
    <row r="51" spans="1:86" x14ac:dyDescent="0.35">
      <c r="A51" s="64"/>
      <c r="B51" s="64"/>
      <c r="C51" s="64"/>
      <c r="D51" s="64"/>
      <c r="E51" s="64"/>
      <c r="F51" s="64"/>
      <c r="G51" s="64"/>
      <c r="H51" s="64"/>
      <c r="I51" s="64"/>
      <c r="J51" s="64"/>
      <c r="K51" s="64"/>
      <c r="L51" s="64"/>
      <c r="M51" s="64"/>
      <c r="N51" s="64"/>
      <c r="O51" s="64"/>
      <c r="P51" s="64"/>
      <c r="Q51" s="64"/>
      <c r="R51" s="64"/>
      <c r="S51" s="64"/>
      <c r="T51" s="64"/>
      <c r="U51" s="64"/>
      <c r="V51" s="64"/>
      <c r="W51" s="64"/>
      <c r="X51" s="64"/>
      <c r="Y51" s="64"/>
      <c r="Z51" s="64"/>
      <c r="AA51" s="64"/>
      <c r="AB51" s="64"/>
      <c r="AC51" s="64"/>
      <c r="AD51" s="64"/>
      <c r="AE51" s="64"/>
      <c r="AF51" s="64"/>
      <c r="AG51" s="64"/>
      <c r="AH51" s="64"/>
      <c r="AI51" s="64"/>
      <c r="AJ51" s="64"/>
      <c r="AK51" s="64"/>
      <c r="AL51" s="64"/>
      <c r="AM51" s="64"/>
      <c r="AN51" s="64"/>
      <c r="AO51" s="64"/>
      <c r="AP51" s="64"/>
      <c r="AQ51" s="64"/>
      <c r="AR51" s="64"/>
      <c r="AS51" s="64"/>
      <c r="AT51" s="64"/>
      <c r="AU51" s="64"/>
      <c r="AV51" s="64"/>
      <c r="AW51" s="64"/>
      <c r="AX51" s="64"/>
      <c r="AY51" s="64"/>
      <c r="AZ51" s="64"/>
      <c r="BA51" s="64"/>
      <c r="BB51" s="64"/>
      <c r="BC51" s="64"/>
      <c r="BD51" s="64"/>
      <c r="BE51" s="64"/>
      <c r="BF51" s="64"/>
      <c r="BG51" s="64"/>
      <c r="BH51" s="64"/>
      <c r="BI51" s="64"/>
      <c r="BJ51" s="64"/>
      <c r="BK51" s="64"/>
      <c r="BL51" s="64"/>
      <c r="BM51" s="64"/>
      <c r="BN51" s="64"/>
      <c r="BO51" s="64"/>
      <c r="BP51" s="64"/>
      <c r="BQ51" s="64"/>
      <c r="BR51" s="64"/>
      <c r="BS51" s="64"/>
      <c r="BT51" s="64"/>
      <c r="BU51" s="64"/>
      <c r="BV51" s="64"/>
      <c r="BW51" s="64"/>
      <c r="BX51" s="64"/>
      <c r="BY51" s="64"/>
      <c r="BZ51" s="64"/>
      <c r="CA51" s="64"/>
      <c r="CB51" s="64"/>
      <c r="CC51" s="64"/>
      <c r="CD51" s="64"/>
      <c r="CE51" s="64"/>
      <c r="CF51" s="64"/>
      <c r="CG51" s="64"/>
      <c r="CH51" s="64"/>
    </row>
    <row r="52" spans="1:86" x14ac:dyDescent="0.35">
      <c r="A52" s="64"/>
      <c r="B52" s="64"/>
      <c r="C52" s="64"/>
      <c r="D52" s="64"/>
      <c r="E52" s="64"/>
      <c r="F52" s="64"/>
      <c r="G52" s="64"/>
      <c r="H52" s="64"/>
      <c r="I52" s="64"/>
      <c r="J52" s="64"/>
      <c r="K52" s="64"/>
      <c r="L52" s="64"/>
      <c r="M52" s="64"/>
      <c r="N52" s="64"/>
      <c r="O52" s="64"/>
      <c r="P52" s="64"/>
      <c r="Q52" s="64"/>
      <c r="R52" s="64"/>
      <c r="S52" s="64"/>
      <c r="T52" s="64"/>
      <c r="U52" s="64"/>
      <c r="V52" s="64"/>
      <c r="W52" s="64"/>
      <c r="X52" s="64"/>
      <c r="Y52" s="64"/>
      <c r="Z52" s="64"/>
      <c r="AA52" s="64"/>
      <c r="AB52" s="64"/>
      <c r="AC52" s="64"/>
      <c r="AD52" s="64"/>
      <c r="AE52" s="64"/>
      <c r="AF52" s="64"/>
      <c r="AG52" s="64"/>
      <c r="AH52" s="64"/>
      <c r="AI52" s="64"/>
      <c r="AJ52" s="64"/>
      <c r="AK52" s="64"/>
      <c r="AL52" s="64"/>
      <c r="AM52" s="64"/>
      <c r="AN52" s="64"/>
      <c r="AO52" s="64"/>
      <c r="AP52" s="64"/>
      <c r="AQ52" s="64"/>
      <c r="AR52" s="64"/>
      <c r="AS52" s="64"/>
      <c r="AT52" s="64"/>
      <c r="AU52" s="64"/>
      <c r="AV52" s="64"/>
      <c r="AW52" s="64"/>
      <c r="AX52" s="64"/>
      <c r="AY52" s="64"/>
      <c r="AZ52" s="64"/>
      <c r="BA52" s="64"/>
      <c r="BB52" s="64"/>
      <c r="BC52" s="64"/>
      <c r="BD52" s="64"/>
      <c r="BE52" s="64"/>
      <c r="BF52" s="64"/>
      <c r="BG52" s="64"/>
      <c r="BH52" s="64"/>
      <c r="BI52" s="64"/>
      <c r="BJ52" s="64"/>
      <c r="BK52" s="64"/>
      <c r="BL52" s="64"/>
      <c r="BM52" s="64"/>
      <c r="BN52" s="64"/>
      <c r="BO52" s="64"/>
      <c r="BP52" s="64"/>
      <c r="BQ52" s="64"/>
      <c r="BR52" s="64"/>
      <c r="BS52" s="64"/>
      <c r="BT52" s="64"/>
      <c r="BU52" s="64"/>
      <c r="BV52" s="64"/>
      <c r="BW52" s="64"/>
      <c r="BX52" s="64"/>
      <c r="BY52" s="64"/>
      <c r="BZ52" s="64"/>
      <c r="CA52" s="64"/>
      <c r="CB52" s="64"/>
      <c r="CC52" s="64"/>
      <c r="CD52" s="64"/>
      <c r="CE52" s="64"/>
      <c r="CF52" s="64"/>
      <c r="CG52" s="64"/>
      <c r="CH52" s="64"/>
    </row>
    <row r="53" spans="1:86" x14ac:dyDescent="0.35">
      <c r="A53" s="64"/>
      <c r="B53" s="64"/>
      <c r="C53" s="64"/>
      <c r="D53" s="64"/>
      <c r="E53" s="64"/>
      <c r="F53" s="64"/>
      <c r="G53" s="64"/>
      <c r="H53" s="64"/>
      <c r="I53" s="64"/>
      <c r="J53" s="64"/>
      <c r="K53" s="64"/>
      <c r="L53" s="64"/>
      <c r="M53" s="64"/>
      <c r="N53" s="64"/>
      <c r="O53" s="64"/>
      <c r="P53" s="64"/>
      <c r="Q53" s="64"/>
      <c r="R53" s="64"/>
      <c r="S53" s="64"/>
      <c r="T53" s="64"/>
      <c r="U53" s="64"/>
      <c r="V53" s="64"/>
      <c r="W53" s="64"/>
      <c r="X53" s="64"/>
      <c r="Y53" s="64"/>
      <c r="Z53" s="64"/>
      <c r="AA53" s="64"/>
      <c r="AB53" s="64"/>
      <c r="AC53" s="64"/>
      <c r="AD53" s="64"/>
      <c r="AE53" s="64"/>
      <c r="AF53" s="64"/>
      <c r="AG53" s="64"/>
      <c r="AH53" s="64"/>
      <c r="AI53" s="64"/>
      <c r="AJ53" s="64"/>
      <c r="AK53" s="64"/>
      <c r="AL53" s="64"/>
      <c r="AM53" s="64"/>
      <c r="AN53" s="64"/>
      <c r="AO53" s="64"/>
      <c r="AP53" s="64"/>
      <c r="AQ53" s="64"/>
      <c r="AR53" s="64"/>
      <c r="AS53" s="64"/>
      <c r="AT53" s="64"/>
      <c r="AU53" s="64"/>
      <c r="AV53" s="64"/>
      <c r="AW53" s="64"/>
      <c r="AX53" s="64"/>
      <c r="AY53" s="64"/>
      <c r="AZ53" s="64"/>
      <c r="BA53" s="64"/>
      <c r="BB53" s="64"/>
      <c r="BC53" s="64"/>
      <c r="BD53" s="64"/>
      <c r="BE53" s="64"/>
      <c r="BF53" s="64"/>
      <c r="BG53" s="64"/>
      <c r="BH53" s="64"/>
      <c r="BI53" s="64"/>
      <c r="BJ53" s="64"/>
      <c r="BK53" s="64"/>
      <c r="BL53" s="64"/>
      <c r="BM53" s="64"/>
      <c r="BN53" s="64"/>
      <c r="BO53" s="64"/>
      <c r="BP53" s="64"/>
      <c r="BQ53" s="64"/>
      <c r="BR53" s="64"/>
      <c r="BS53" s="64"/>
      <c r="BT53" s="64"/>
      <c r="BU53" s="64"/>
      <c r="BV53" s="64"/>
      <c r="BW53" s="64"/>
      <c r="BX53" s="64"/>
      <c r="BY53" s="64"/>
      <c r="BZ53" s="64"/>
      <c r="CA53" s="64"/>
      <c r="CB53" s="64"/>
      <c r="CC53" s="64"/>
      <c r="CD53" s="64"/>
      <c r="CE53" s="64"/>
      <c r="CF53" s="64"/>
      <c r="CG53" s="64"/>
      <c r="CH53" s="64"/>
    </row>
    <row r="54" spans="1:86" x14ac:dyDescent="0.35">
      <c r="A54" s="64"/>
      <c r="B54" s="64"/>
      <c r="C54" s="64"/>
      <c r="D54" s="64"/>
      <c r="E54" s="64"/>
      <c r="F54" s="64"/>
      <c r="G54" s="64"/>
      <c r="H54" s="64"/>
      <c r="I54" s="64"/>
      <c r="J54" s="64"/>
      <c r="K54" s="64"/>
      <c r="L54" s="64"/>
      <c r="M54" s="64"/>
      <c r="N54" s="64"/>
      <c r="O54" s="64"/>
      <c r="P54" s="64"/>
      <c r="Q54" s="64"/>
      <c r="R54" s="64"/>
      <c r="S54" s="64"/>
      <c r="T54" s="64"/>
      <c r="U54" s="64"/>
      <c r="V54" s="64"/>
      <c r="W54" s="64"/>
      <c r="X54" s="64"/>
      <c r="Y54" s="64"/>
      <c r="Z54" s="64"/>
      <c r="AA54" s="64"/>
      <c r="AB54" s="64"/>
      <c r="AC54" s="64"/>
      <c r="AD54" s="64"/>
      <c r="AE54" s="64"/>
      <c r="AF54" s="64"/>
      <c r="AG54" s="64"/>
      <c r="AH54" s="64"/>
      <c r="AI54" s="64"/>
      <c r="AJ54" s="64"/>
      <c r="AK54" s="64"/>
      <c r="AL54" s="64"/>
      <c r="AM54" s="64"/>
      <c r="AN54" s="64"/>
      <c r="AO54" s="64"/>
      <c r="AP54" s="64"/>
      <c r="AQ54" s="64"/>
      <c r="AR54" s="64"/>
      <c r="AS54" s="64"/>
      <c r="AT54" s="64"/>
      <c r="AU54" s="64"/>
      <c r="AV54" s="64"/>
      <c r="AW54" s="64"/>
      <c r="AX54" s="64"/>
      <c r="AY54" s="64"/>
      <c r="AZ54" s="64"/>
      <c r="BA54" s="64"/>
      <c r="BB54" s="64"/>
      <c r="BC54" s="64"/>
      <c r="BD54" s="64"/>
      <c r="BE54" s="64"/>
      <c r="BF54" s="64"/>
      <c r="BG54" s="64"/>
      <c r="BH54" s="64"/>
      <c r="BI54" s="64"/>
      <c r="BJ54" s="64"/>
      <c r="BK54" s="64"/>
      <c r="BL54" s="64"/>
      <c r="BM54" s="64"/>
      <c r="BN54" s="64"/>
      <c r="BO54" s="64"/>
      <c r="BP54" s="64"/>
      <c r="BQ54" s="64"/>
      <c r="BR54" s="64"/>
      <c r="BS54" s="64"/>
      <c r="BT54" s="64"/>
      <c r="BU54" s="64"/>
      <c r="BV54" s="64"/>
      <c r="BW54" s="64"/>
      <c r="BX54" s="64"/>
      <c r="BY54" s="64"/>
      <c r="BZ54" s="64"/>
      <c r="CA54" s="64"/>
      <c r="CB54" s="64"/>
      <c r="CC54" s="64"/>
      <c r="CD54" s="64"/>
      <c r="CE54" s="64"/>
      <c r="CF54" s="64"/>
      <c r="CG54" s="64"/>
      <c r="CH54" s="64"/>
    </row>
    <row r="55" spans="1:86" x14ac:dyDescent="0.35">
      <c r="A55" s="64"/>
      <c r="B55" s="64"/>
      <c r="C55" s="64"/>
      <c r="D55" s="64"/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64"/>
      <c r="P55" s="64"/>
      <c r="Q55" s="64"/>
      <c r="R55" s="64"/>
      <c r="S55" s="64"/>
      <c r="T55" s="64"/>
      <c r="U55" s="64"/>
      <c r="V55" s="64"/>
      <c r="W55" s="64"/>
      <c r="X55" s="64"/>
      <c r="Y55" s="64"/>
      <c r="Z55" s="64"/>
      <c r="AA55" s="64"/>
      <c r="AB55" s="64"/>
      <c r="AC55" s="64"/>
      <c r="AD55" s="64"/>
      <c r="AE55" s="64"/>
      <c r="AF55" s="64"/>
      <c r="AG55" s="64"/>
      <c r="AH55" s="64"/>
      <c r="AI55" s="64"/>
      <c r="AJ55" s="64"/>
      <c r="AK55" s="64"/>
      <c r="AL55" s="64"/>
      <c r="AM55" s="64"/>
      <c r="AN55" s="64"/>
      <c r="AO55" s="64"/>
      <c r="AP55" s="64"/>
      <c r="AQ55" s="64"/>
      <c r="AR55" s="64"/>
      <c r="AS55" s="64"/>
      <c r="AT55" s="64"/>
      <c r="AU55" s="64"/>
      <c r="AV55" s="64"/>
      <c r="AW55" s="64"/>
      <c r="AX55" s="64"/>
      <c r="AY55" s="64"/>
      <c r="AZ55" s="64"/>
      <c r="BA55" s="64"/>
      <c r="BB55" s="64"/>
      <c r="BC55" s="64"/>
      <c r="BD55" s="64"/>
      <c r="BE55" s="64"/>
      <c r="BF55" s="64"/>
      <c r="BG55" s="64"/>
      <c r="BH55" s="64"/>
      <c r="BI55" s="64"/>
      <c r="BJ55" s="64"/>
      <c r="BK55" s="64"/>
      <c r="BL55" s="64"/>
      <c r="BM55" s="64"/>
      <c r="BN55" s="64"/>
      <c r="BO55" s="64"/>
      <c r="BP55" s="64"/>
      <c r="BQ55" s="64"/>
      <c r="BR55" s="64"/>
      <c r="BS55" s="64"/>
      <c r="BT55" s="64"/>
      <c r="BU55" s="64"/>
      <c r="BV55" s="64"/>
      <c r="BW55" s="64"/>
      <c r="BX55" s="64"/>
      <c r="BY55" s="64"/>
      <c r="BZ55" s="64"/>
      <c r="CA55" s="64"/>
      <c r="CB55" s="64"/>
      <c r="CC55" s="64"/>
      <c r="CD55" s="64"/>
      <c r="CE55" s="64"/>
      <c r="CF55" s="64"/>
      <c r="CG55" s="64"/>
      <c r="CH55" s="64"/>
    </row>
    <row r="56" spans="1:86" x14ac:dyDescent="0.35">
      <c r="A56" s="64"/>
      <c r="B56" s="64"/>
      <c r="C56" s="64"/>
      <c r="D56" s="64"/>
      <c r="E56" s="64"/>
      <c r="F56" s="64"/>
      <c r="G56" s="64"/>
      <c r="H56" s="64"/>
      <c r="I56" s="64"/>
      <c r="J56" s="64"/>
      <c r="K56" s="64"/>
      <c r="L56" s="64"/>
      <c r="M56" s="64"/>
      <c r="N56" s="64"/>
      <c r="O56" s="64"/>
      <c r="P56" s="64"/>
      <c r="Q56" s="64"/>
      <c r="R56" s="64"/>
      <c r="S56" s="64"/>
      <c r="T56" s="64"/>
      <c r="U56" s="64"/>
      <c r="V56" s="64"/>
      <c r="W56" s="64"/>
      <c r="X56" s="64"/>
      <c r="Y56" s="64"/>
      <c r="Z56" s="64"/>
      <c r="AA56" s="64"/>
      <c r="AB56" s="64"/>
      <c r="AC56" s="64"/>
      <c r="AD56" s="64"/>
      <c r="AE56" s="64"/>
      <c r="AF56" s="64"/>
      <c r="AG56" s="64"/>
      <c r="AH56" s="64"/>
      <c r="AI56" s="64"/>
      <c r="AJ56" s="64"/>
      <c r="AK56" s="64"/>
      <c r="AL56" s="64"/>
      <c r="AM56" s="64"/>
      <c r="AN56" s="64"/>
      <c r="AO56" s="64"/>
      <c r="AP56" s="64"/>
      <c r="AQ56" s="64"/>
      <c r="AR56" s="64"/>
      <c r="AS56" s="64"/>
      <c r="AT56" s="64"/>
      <c r="AU56" s="64"/>
      <c r="AV56" s="64"/>
      <c r="AW56" s="64"/>
      <c r="AX56" s="64"/>
      <c r="AY56" s="64"/>
      <c r="AZ56" s="64"/>
      <c r="BA56" s="64"/>
      <c r="BB56" s="64"/>
      <c r="BC56" s="64"/>
      <c r="BD56" s="64"/>
      <c r="BE56" s="64"/>
      <c r="BF56" s="64"/>
      <c r="BG56" s="64"/>
      <c r="BH56" s="64"/>
      <c r="BI56" s="64"/>
      <c r="BJ56" s="64"/>
      <c r="BK56" s="64"/>
      <c r="BL56" s="64"/>
      <c r="BM56" s="64"/>
      <c r="BN56" s="64"/>
      <c r="BO56" s="64"/>
      <c r="BP56" s="64"/>
      <c r="BQ56" s="64"/>
      <c r="BR56" s="64"/>
      <c r="BS56" s="64"/>
      <c r="BT56" s="64"/>
      <c r="BU56" s="64"/>
      <c r="BV56" s="64"/>
      <c r="BW56" s="64"/>
      <c r="BX56" s="64"/>
      <c r="BY56" s="64"/>
      <c r="BZ56" s="64"/>
      <c r="CA56" s="64"/>
      <c r="CB56" s="64"/>
      <c r="CC56" s="64"/>
      <c r="CD56" s="64"/>
      <c r="CE56" s="64"/>
      <c r="CF56" s="64"/>
      <c r="CG56" s="64"/>
      <c r="CH56" s="64"/>
    </row>
    <row r="57" spans="1:86" x14ac:dyDescent="0.35">
      <c r="A57" s="64"/>
      <c r="B57" s="64"/>
      <c r="C57" s="64"/>
      <c r="D57" s="64"/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64"/>
      <c r="V57" s="64"/>
      <c r="W57" s="64"/>
      <c r="X57" s="64"/>
      <c r="Y57" s="64"/>
      <c r="Z57" s="64"/>
      <c r="AA57" s="64"/>
      <c r="AB57" s="64"/>
      <c r="AC57" s="64"/>
      <c r="AD57" s="64"/>
      <c r="AE57" s="64"/>
      <c r="AF57" s="64"/>
      <c r="AG57" s="64"/>
      <c r="AH57" s="64"/>
      <c r="AI57" s="64"/>
      <c r="AJ57" s="64"/>
      <c r="AK57" s="64"/>
      <c r="AL57" s="64"/>
      <c r="AM57" s="64"/>
      <c r="AN57" s="64"/>
      <c r="AO57" s="64"/>
      <c r="AP57" s="64"/>
      <c r="AQ57" s="64"/>
      <c r="AR57" s="64"/>
      <c r="AS57" s="64"/>
      <c r="AT57" s="64"/>
      <c r="AU57" s="64"/>
      <c r="AV57" s="64"/>
      <c r="AW57" s="64"/>
      <c r="AX57" s="64"/>
      <c r="AY57" s="64"/>
      <c r="AZ57" s="64"/>
      <c r="BA57" s="64"/>
      <c r="BB57" s="64"/>
      <c r="BC57" s="64"/>
      <c r="BD57" s="64"/>
      <c r="BE57" s="64"/>
      <c r="BF57" s="64"/>
      <c r="BG57" s="64"/>
      <c r="BH57" s="64"/>
      <c r="BI57" s="64"/>
      <c r="BJ57" s="64"/>
      <c r="BK57" s="64"/>
      <c r="BL57" s="64"/>
      <c r="BM57" s="64"/>
      <c r="BN57" s="64"/>
      <c r="BO57" s="64"/>
      <c r="BP57" s="64"/>
      <c r="BQ57" s="64"/>
      <c r="BR57" s="64"/>
      <c r="BS57" s="64"/>
      <c r="BT57" s="64"/>
      <c r="BU57" s="64"/>
      <c r="BV57" s="64"/>
      <c r="BW57" s="64"/>
      <c r="BX57" s="64"/>
      <c r="BY57" s="64"/>
      <c r="BZ57" s="64"/>
      <c r="CA57" s="64"/>
      <c r="CB57" s="64"/>
      <c r="CC57" s="64"/>
      <c r="CD57" s="64"/>
      <c r="CE57" s="64"/>
      <c r="CF57" s="64"/>
      <c r="CG57" s="64"/>
      <c r="CH57" s="64"/>
    </row>
    <row r="58" spans="1:86" x14ac:dyDescent="0.35">
      <c r="A58" s="64"/>
      <c r="B58" s="64"/>
      <c r="C58" s="64"/>
      <c r="D58" s="64"/>
      <c r="E58" s="64"/>
      <c r="F58" s="64"/>
      <c r="G58" s="64"/>
      <c r="H58" s="64"/>
      <c r="I58" s="64"/>
      <c r="J58" s="64"/>
      <c r="K58" s="64"/>
      <c r="L58" s="64"/>
      <c r="M58" s="64"/>
      <c r="N58" s="64"/>
      <c r="O58" s="64"/>
      <c r="P58" s="64"/>
      <c r="Q58" s="64"/>
      <c r="R58" s="64"/>
      <c r="S58" s="64"/>
      <c r="T58" s="64"/>
      <c r="U58" s="64"/>
      <c r="V58" s="64"/>
      <c r="W58" s="64"/>
      <c r="X58" s="64"/>
      <c r="Y58" s="64"/>
      <c r="Z58" s="64"/>
      <c r="AA58" s="64"/>
      <c r="AB58" s="64"/>
      <c r="AC58" s="64"/>
      <c r="AD58" s="64"/>
      <c r="AE58" s="64"/>
      <c r="AF58" s="64"/>
      <c r="AG58" s="64"/>
      <c r="AH58" s="64"/>
      <c r="AI58" s="64"/>
      <c r="AJ58" s="64"/>
      <c r="AK58" s="64"/>
      <c r="AL58" s="64"/>
      <c r="AM58" s="64"/>
      <c r="AN58" s="64"/>
      <c r="AO58" s="64"/>
      <c r="AP58" s="64"/>
      <c r="AQ58" s="64"/>
      <c r="AR58" s="64"/>
      <c r="AS58" s="64"/>
      <c r="AT58" s="64"/>
      <c r="AU58" s="64"/>
      <c r="AV58" s="64"/>
      <c r="AW58" s="64"/>
      <c r="AX58" s="64"/>
      <c r="AY58" s="64"/>
      <c r="AZ58" s="64"/>
      <c r="BA58" s="64"/>
      <c r="BB58" s="64"/>
      <c r="BC58" s="64"/>
      <c r="BD58" s="64"/>
      <c r="BE58" s="64"/>
      <c r="BF58" s="64"/>
      <c r="BG58" s="64"/>
      <c r="BH58" s="64"/>
      <c r="BI58" s="64"/>
      <c r="BJ58" s="64"/>
      <c r="BK58" s="64"/>
      <c r="BL58" s="64"/>
      <c r="BM58" s="64"/>
      <c r="BN58" s="64"/>
      <c r="BO58" s="64"/>
      <c r="BP58" s="64"/>
      <c r="BQ58" s="64"/>
      <c r="BR58" s="64"/>
      <c r="BS58" s="64"/>
      <c r="BT58" s="64"/>
      <c r="BU58" s="64"/>
      <c r="BV58" s="64"/>
      <c r="BW58" s="64"/>
      <c r="BX58" s="64"/>
      <c r="BY58" s="64"/>
      <c r="BZ58" s="64"/>
      <c r="CA58" s="64"/>
      <c r="CB58" s="64"/>
      <c r="CC58" s="64"/>
      <c r="CD58" s="64"/>
      <c r="CE58" s="64"/>
      <c r="CF58" s="64"/>
      <c r="CG58" s="64"/>
      <c r="CH58" s="64"/>
    </row>
    <row r="59" spans="1:86" x14ac:dyDescent="0.35">
      <c r="A59" s="64"/>
      <c r="B59" s="64"/>
      <c r="C59" s="64"/>
      <c r="D59" s="64"/>
      <c r="E59" s="64"/>
      <c r="F59" s="64"/>
      <c r="G59" s="64"/>
      <c r="H59" s="64"/>
      <c r="I59" s="64"/>
      <c r="J59" s="64"/>
      <c r="K59" s="64"/>
      <c r="L59" s="64"/>
      <c r="M59" s="64"/>
      <c r="N59" s="64"/>
      <c r="O59" s="64"/>
      <c r="P59" s="64"/>
      <c r="Q59" s="64"/>
      <c r="R59" s="64"/>
      <c r="S59" s="64"/>
      <c r="T59" s="64"/>
      <c r="U59" s="64"/>
      <c r="V59" s="64"/>
      <c r="W59" s="64"/>
      <c r="X59" s="64"/>
      <c r="Y59" s="64"/>
      <c r="Z59" s="64"/>
      <c r="AA59" s="64"/>
      <c r="AB59" s="64"/>
      <c r="AC59" s="64"/>
      <c r="AD59" s="64"/>
      <c r="AE59" s="64"/>
      <c r="AF59" s="64"/>
      <c r="AG59" s="64"/>
      <c r="AH59" s="64"/>
      <c r="AI59" s="64"/>
      <c r="AJ59" s="64"/>
      <c r="AK59" s="64"/>
      <c r="AL59" s="64"/>
      <c r="AM59" s="64"/>
      <c r="AN59" s="64"/>
      <c r="AO59" s="64"/>
      <c r="AP59" s="64"/>
      <c r="AQ59" s="64"/>
      <c r="AR59" s="64"/>
      <c r="AS59" s="64"/>
      <c r="AT59" s="64"/>
      <c r="AU59" s="64"/>
      <c r="AV59" s="64"/>
      <c r="AW59" s="64"/>
      <c r="AX59" s="64"/>
      <c r="AY59" s="64"/>
      <c r="AZ59" s="64"/>
      <c r="BA59" s="64"/>
      <c r="BB59" s="64"/>
      <c r="BC59" s="64"/>
      <c r="BD59" s="64"/>
      <c r="BE59" s="64"/>
      <c r="BF59" s="64"/>
      <c r="BG59" s="64"/>
      <c r="BH59" s="64"/>
      <c r="BI59" s="64"/>
      <c r="BJ59" s="64"/>
      <c r="BK59" s="64"/>
      <c r="BL59" s="64"/>
      <c r="BM59" s="64"/>
      <c r="BN59" s="64"/>
      <c r="BO59" s="64"/>
      <c r="BP59" s="64"/>
      <c r="BQ59" s="64"/>
      <c r="BR59" s="64"/>
      <c r="BS59" s="64"/>
      <c r="BT59" s="64"/>
      <c r="BU59" s="64"/>
      <c r="BV59" s="64"/>
      <c r="BW59" s="64"/>
      <c r="BX59" s="64"/>
      <c r="BY59" s="64"/>
      <c r="BZ59" s="64"/>
      <c r="CA59" s="64"/>
      <c r="CB59" s="64"/>
      <c r="CC59" s="64"/>
      <c r="CD59" s="64"/>
      <c r="CE59" s="64"/>
      <c r="CF59" s="64"/>
      <c r="CG59" s="64"/>
      <c r="CH59" s="64"/>
    </row>
    <row r="60" spans="1:86" x14ac:dyDescent="0.35">
      <c r="A60" s="64"/>
      <c r="B60" s="64"/>
      <c r="C60" s="64"/>
      <c r="D60" s="64"/>
      <c r="E60" s="64"/>
      <c r="F60" s="64"/>
      <c r="G60" s="64"/>
      <c r="H60" s="64"/>
      <c r="I60" s="64"/>
      <c r="J60" s="64"/>
      <c r="K60" s="64"/>
      <c r="L60" s="64"/>
      <c r="M60" s="64"/>
      <c r="N60" s="64"/>
      <c r="O60" s="64"/>
      <c r="P60" s="64"/>
      <c r="Q60" s="64"/>
      <c r="R60" s="64"/>
      <c r="S60" s="64"/>
      <c r="T60" s="64"/>
      <c r="U60" s="64"/>
      <c r="V60" s="64"/>
      <c r="W60" s="64"/>
      <c r="X60" s="64"/>
      <c r="Y60" s="64"/>
      <c r="Z60" s="64"/>
      <c r="AA60" s="64"/>
      <c r="AB60" s="64"/>
      <c r="AC60" s="64"/>
      <c r="AD60" s="64"/>
      <c r="AE60" s="64"/>
      <c r="AF60" s="64"/>
      <c r="AG60" s="64"/>
      <c r="AH60" s="64"/>
      <c r="AI60" s="64"/>
      <c r="AJ60" s="64"/>
      <c r="AK60" s="64"/>
      <c r="AL60" s="64"/>
      <c r="AM60" s="64"/>
      <c r="AN60" s="64"/>
      <c r="AO60" s="64"/>
      <c r="AP60" s="64"/>
      <c r="AQ60" s="64"/>
      <c r="AR60" s="64"/>
      <c r="AS60" s="64"/>
      <c r="AT60" s="64"/>
      <c r="AU60" s="64"/>
      <c r="AV60" s="64"/>
      <c r="AW60" s="64"/>
      <c r="AX60" s="64"/>
      <c r="AY60" s="64"/>
      <c r="AZ60" s="64"/>
      <c r="BA60" s="64"/>
      <c r="BB60" s="64"/>
      <c r="BC60" s="64"/>
      <c r="BD60" s="64"/>
      <c r="BE60" s="64"/>
      <c r="BF60" s="64"/>
      <c r="BG60" s="64"/>
      <c r="BH60" s="64"/>
      <c r="BI60" s="64"/>
      <c r="BJ60" s="64"/>
      <c r="BK60" s="64"/>
      <c r="BL60" s="64"/>
      <c r="BM60" s="64"/>
      <c r="BN60" s="64"/>
      <c r="BO60" s="64"/>
      <c r="BP60" s="64"/>
      <c r="BQ60" s="64"/>
      <c r="BR60" s="64"/>
      <c r="BS60" s="64"/>
      <c r="BT60" s="64"/>
      <c r="BU60" s="64"/>
      <c r="BV60" s="64"/>
      <c r="BW60" s="64"/>
      <c r="BX60" s="64"/>
      <c r="BY60" s="64"/>
      <c r="BZ60" s="64"/>
      <c r="CA60" s="64"/>
      <c r="CB60" s="64"/>
      <c r="CC60" s="64"/>
      <c r="CD60" s="64"/>
      <c r="CE60" s="64"/>
      <c r="CF60" s="64"/>
      <c r="CG60" s="64"/>
      <c r="CH60" s="64"/>
    </row>
    <row r="61" spans="1:86" x14ac:dyDescent="0.35">
      <c r="A61" s="64"/>
      <c r="B61" s="64"/>
      <c r="C61" s="64"/>
      <c r="D61" s="64"/>
      <c r="E61" s="64"/>
      <c r="F61" s="64"/>
      <c r="G61" s="64"/>
      <c r="H61" s="64"/>
      <c r="I61" s="64"/>
      <c r="J61" s="64"/>
      <c r="K61" s="64"/>
      <c r="L61" s="64"/>
      <c r="M61" s="64"/>
      <c r="N61" s="64"/>
      <c r="O61" s="64"/>
      <c r="P61" s="64"/>
      <c r="Q61" s="64"/>
      <c r="R61" s="64"/>
      <c r="S61" s="64"/>
      <c r="T61" s="64"/>
      <c r="U61" s="64"/>
      <c r="V61" s="64"/>
      <c r="W61" s="64"/>
      <c r="X61" s="64"/>
      <c r="Y61" s="64"/>
      <c r="Z61" s="64"/>
      <c r="AA61" s="64"/>
      <c r="AB61" s="64"/>
      <c r="AC61" s="64"/>
      <c r="AD61" s="64"/>
      <c r="AE61" s="64"/>
      <c r="AF61" s="64"/>
      <c r="AG61" s="64"/>
      <c r="AH61" s="64"/>
      <c r="AI61" s="64"/>
      <c r="AJ61" s="64"/>
      <c r="AK61" s="64"/>
      <c r="AL61" s="64"/>
      <c r="AM61" s="64"/>
      <c r="AN61" s="64"/>
      <c r="AO61" s="64"/>
      <c r="AP61" s="64"/>
      <c r="AQ61" s="64"/>
      <c r="AR61" s="64"/>
      <c r="AS61" s="64"/>
      <c r="AT61" s="64"/>
      <c r="AU61" s="64"/>
      <c r="AV61" s="64"/>
      <c r="AW61" s="64"/>
      <c r="AX61" s="64"/>
      <c r="AY61" s="64"/>
      <c r="AZ61" s="64"/>
      <c r="BA61" s="64"/>
      <c r="BB61" s="64"/>
      <c r="BC61" s="64"/>
      <c r="BD61" s="64"/>
      <c r="BE61" s="64"/>
      <c r="BF61" s="64"/>
      <c r="BG61" s="64"/>
      <c r="BH61" s="64"/>
      <c r="BI61" s="64"/>
      <c r="BJ61" s="64"/>
      <c r="BK61" s="64"/>
      <c r="BL61" s="64"/>
      <c r="BM61" s="64"/>
      <c r="BN61" s="64"/>
      <c r="BO61" s="64"/>
      <c r="BP61" s="64"/>
      <c r="BQ61" s="64"/>
      <c r="BR61" s="64"/>
      <c r="BS61" s="64"/>
      <c r="BT61" s="64"/>
      <c r="BU61" s="64"/>
      <c r="BV61" s="64"/>
      <c r="BW61" s="64"/>
      <c r="BX61" s="64"/>
      <c r="BY61" s="64"/>
      <c r="BZ61" s="64"/>
      <c r="CA61" s="64"/>
      <c r="CB61" s="64"/>
      <c r="CC61" s="64"/>
      <c r="CD61" s="64"/>
      <c r="CE61" s="64"/>
      <c r="CF61" s="64"/>
      <c r="CG61" s="64"/>
      <c r="CH61" s="64"/>
    </row>
    <row r="62" spans="1:86" x14ac:dyDescent="0.35">
      <c r="A62" s="64"/>
      <c r="B62" s="64"/>
      <c r="C62" s="64"/>
      <c r="D62" s="64"/>
      <c r="E62" s="64"/>
      <c r="F62" s="64"/>
      <c r="G62" s="64"/>
      <c r="H62" s="64"/>
      <c r="I62" s="64"/>
      <c r="J62" s="64"/>
      <c r="K62" s="64"/>
      <c r="L62" s="64"/>
      <c r="M62" s="64"/>
      <c r="N62" s="64"/>
      <c r="O62" s="64"/>
      <c r="P62" s="64"/>
      <c r="Q62" s="64"/>
      <c r="R62" s="64"/>
      <c r="S62" s="64"/>
      <c r="T62" s="64"/>
      <c r="U62" s="64"/>
      <c r="V62" s="64"/>
      <c r="W62" s="64"/>
      <c r="X62" s="64"/>
      <c r="Y62" s="64"/>
      <c r="Z62" s="64"/>
      <c r="AA62" s="64"/>
      <c r="AB62" s="64"/>
      <c r="AC62" s="64"/>
      <c r="AD62" s="64"/>
      <c r="AE62" s="64"/>
      <c r="AF62" s="64"/>
      <c r="AG62" s="64"/>
      <c r="AH62" s="64"/>
      <c r="AI62" s="64"/>
      <c r="AJ62" s="64"/>
      <c r="AK62" s="64"/>
      <c r="AL62" s="64"/>
      <c r="AM62" s="64"/>
      <c r="AN62" s="64"/>
      <c r="AO62" s="64"/>
      <c r="AP62" s="64"/>
      <c r="AQ62" s="64"/>
      <c r="AR62" s="64"/>
      <c r="AS62" s="64"/>
      <c r="AT62" s="64"/>
      <c r="AU62" s="64"/>
      <c r="AV62" s="64"/>
      <c r="AW62" s="64"/>
      <c r="AX62" s="64"/>
      <c r="AY62" s="64"/>
      <c r="AZ62" s="64"/>
      <c r="BA62" s="64"/>
      <c r="BB62" s="64"/>
      <c r="BC62" s="64"/>
      <c r="BD62" s="64"/>
      <c r="BE62" s="64"/>
      <c r="BF62" s="64"/>
      <c r="BG62" s="64"/>
      <c r="BH62" s="64"/>
      <c r="BI62" s="64"/>
      <c r="BJ62" s="64"/>
      <c r="BK62" s="64"/>
      <c r="BL62" s="64"/>
      <c r="BM62" s="64"/>
      <c r="BN62" s="64"/>
      <c r="BO62" s="64"/>
      <c r="BP62" s="64"/>
      <c r="BQ62" s="64"/>
      <c r="BR62" s="64"/>
      <c r="BS62" s="64"/>
      <c r="BT62" s="64"/>
      <c r="BU62" s="64"/>
      <c r="BV62" s="64"/>
      <c r="BW62" s="64"/>
      <c r="BX62" s="64"/>
      <c r="BY62" s="64"/>
      <c r="BZ62" s="64"/>
      <c r="CA62" s="64"/>
      <c r="CB62" s="64"/>
      <c r="CC62" s="64"/>
      <c r="CD62" s="64"/>
      <c r="CE62" s="64"/>
      <c r="CF62" s="64"/>
      <c r="CG62" s="64"/>
      <c r="CH62" s="64"/>
    </row>
    <row r="63" spans="1:86" x14ac:dyDescent="0.35">
      <c r="A63" s="64"/>
      <c r="B63" s="64"/>
      <c r="C63" s="64"/>
      <c r="D63" s="64"/>
      <c r="E63" s="64"/>
      <c r="F63" s="64"/>
      <c r="G63" s="64"/>
      <c r="H63" s="64"/>
      <c r="I63" s="64"/>
      <c r="J63" s="64"/>
      <c r="K63" s="64"/>
      <c r="L63" s="64"/>
      <c r="M63" s="64"/>
      <c r="N63" s="64"/>
      <c r="O63" s="64"/>
      <c r="P63" s="64"/>
      <c r="Q63" s="64"/>
      <c r="R63" s="64"/>
      <c r="S63" s="64"/>
      <c r="T63" s="64"/>
      <c r="U63" s="64"/>
      <c r="V63" s="64"/>
      <c r="W63" s="64"/>
      <c r="X63" s="64"/>
      <c r="Y63" s="64"/>
      <c r="Z63" s="64"/>
      <c r="AA63" s="64"/>
      <c r="AB63" s="64"/>
      <c r="AC63" s="64"/>
      <c r="AD63" s="64"/>
      <c r="AE63" s="64"/>
      <c r="AF63" s="64"/>
      <c r="AG63" s="64"/>
      <c r="AH63" s="64"/>
      <c r="AI63" s="64"/>
      <c r="AJ63" s="64"/>
      <c r="AK63" s="64"/>
      <c r="AL63" s="64"/>
      <c r="AM63" s="64"/>
      <c r="AN63" s="64"/>
      <c r="AO63" s="64"/>
      <c r="AP63" s="64"/>
      <c r="AQ63" s="64"/>
      <c r="AR63" s="64"/>
      <c r="AS63" s="64"/>
      <c r="AT63" s="64"/>
      <c r="AU63" s="64"/>
      <c r="AV63" s="64"/>
      <c r="AW63" s="64"/>
      <c r="AX63" s="64"/>
      <c r="AY63" s="64"/>
      <c r="AZ63" s="64"/>
      <c r="BA63" s="64"/>
      <c r="BB63" s="64"/>
      <c r="BC63" s="64"/>
      <c r="BD63" s="64"/>
      <c r="BE63" s="64"/>
      <c r="BF63" s="64"/>
      <c r="BG63" s="64"/>
      <c r="BH63" s="64"/>
      <c r="BI63" s="64"/>
      <c r="BJ63" s="64"/>
      <c r="BK63" s="64"/>
      <c r="BL63" s="64"/>
      <c r="BM63" s="64"/>
      <c r="BN63" s="64"/>
      <c r="BO63" s="64"/>
      <c r="BP63" s="64"/>
      <c r="BQ63" s="64"/>
      <c r="BR63" s="64"/>
      <c r="BS63" s="64"/>
      <c r="BT63" s="64"/>
      <c r="BU63" s="64"/>
      <c r="BV63" s="64"/>
      <c r="BW63" s="64"/>
      <c r="BX63" s="64"/>
      <c r="BY63" s="64"/>
      <c r="BZ63" s="64"/>
      <c r="CA63" s="64"/>
      <c r="CB63" s="64"/>
      <c r="CC63" s="64"/>
      <c r="CD63" s="64"/>
      <c r="CE63" s="64"/>
      <c r="CF63" s="64"/>
      <c r="CG63" s="64"/>
      <c r="CH63" s="64"/>
    </row>
    <row r="64" spans="1:86" x14ac:dyDescent="0.35">
      <c r="A64" s="64"/>
      <c r="B64" s="64"/>
      <c r="C64" s="64"/>
      <c r="D64" s="64"/>
      <c r="E64" s="64"/>
      <c r="F64" s="64"/>
      <c r="G64" s="64"/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64"/>
      <c r="V64" s="64"/>
      <c r="W64" s="64"/>
      <c r="X64" s="64"/>
      <c r="Y64" s="64"/>
      <c r="Z64" s="64"/>
      <c r="AA64" s="64"/>
      <c r="AB64" s="64"/>
      <c r="AC64" s="64"/>
      <c r="AD64" s="64"/>
      <c r="AE64" s="64"/>
      <c r="AF64" s="64"/>
      <c r="AG64" s="64"/>
      <c r="AH64" s="64"/>
      <c r="AI64" s="64"/>
      <c r="AJ64" s="64"/>
      <c r="AK64" s="64"/>
      <c r="AL64" s="64"/>
      <c r="AM64" s="64"/>
      <c r="AN64" s="64"/>
      <c r="AO64" s="64"/>
      <c r="AP64" s="64"/>
      <c r="AQ64" s="64"/>
      <c r="AR64" s="64"/>
      <c r="AS64" s="64"/>
      <c r="AT64" s="64"/>
      <c r="AU64" s="64"/>
      <c r="AV64" s="64"/>
      <c r="AW64" s="64"/>
      <c r="AX64" s="64"/>
      <c r="AY64" s="64"/>
      <c r="AZ64" s="64"/>
      <c r="BA64" s="64"/>
      <c r="BB64" s="64"/>
      <c r="BC64" s="64"/>
      <c r="BD64" s="64"/>
      <c r="BE64" s="64"/>
      <c r="BF64" s="64"/>
      <c r="BG64" s="64"/>
      <c r="BH64" s="64"/>
      <c r="BI64" s="64"/>
      <c r="BJ64" s="64"/>
      <c r="BK64" s="64"/>
      <c r="BL64" s="64"/>
      <c r="BM64" s="64"/>
      <c r="BN64" s="64"/>
      <c r="BO64" s="64"/>
      <c r="BP64" s="64"/>
      <c r="BQ64" s="64"/>
      <c r="BR64" s="64"/>
      <c r="BS64" s="64"/>
      <c r="BT64" s="64"/>
      <c r="BU64" s="64"/>
      <c r="BV64" s="64"/>
      <c r="BW64" s="64"/>
      <c r="BX64" s="64"/>
      <c r="BY64" s="64"/>
      <c r="BZ64" s="64"/>
      <c r="CA64" s="64"/>
      <c r="CB64" s="64"/>
      <c r="CC64" s="64"/>
      <c r="CD64" s="64"/>
      <c r="CE64" s="64"/>
      <c r="CF64" s="64"/>
      <c r="CG64" s="64"/>
      <c r="CH64" s="64"/>
    </row>
    <row r="65" spans="1:86" x14ac:dyDescent="0.35">
      <c r="A65" s="64"/>
      <c r="B65" s="64"/>
      <c r="C65" s="64"/>
      <c r="D65" s="64"/>
      <c r="E65" s="64"/>
      <c r="F65" s="64"/>
      <c r="G65" s="64"/>
      <c r="H65" s="64"/>
      <c r="I65" s="64"/>
      <c r="J65" s="64"/>
      <c r="K65" s="64"/>
      <c r="L65" s="64"/>
      <c r="M65" s="64"/>
      <c r="N65" s="64"/>
      <c r="O65" s="64"/>
      <c r="P65" s="64"/>
      <c r="Q65" s="64"/>
      <c r="R65" s="64"/>
      <c r="S65" s="64"/>
      <c r="T65" s="64"/>
      <c r="U65" s="64"/>
      <c r="V65" s="64"/>
      <c r="W65" s="64"/>
      <c r="X65" s="64"/>
      <c r="Y65" s="64"/>
      <c r="Z65" s="64"/>
      <c r="AA65" s="64"/>
      <c r="AB65" s="64"/>
      <c r="AC65" s="64"/>
      <c r="AD65" s="64"/>
      <c r="AE65" s="64"/>
      <c r="AF65" s="64"/>
      <c r="AG65" s="64"/>
      <c r="AH65" s="64"/>
      <c r="AI65" s="64"/>
      <c r="AJ65" s="64"/>
      <c r="AK65" s="64"/>
      <c r="AL65" s="64"/>
      <c r="AM65" s="64"/>
      <c r="AN65" s="64"/>
      <c r="AO65" s="64"/>
      <c r="AP65" s="64"/>
      <c r="AQ65" s="64"/>
      <c r="AR65" s="64"/>
      <c r="AS65" s="64"/>
      <c r="AT65" s="64"/>
      <c r="AU65" s="64"/>
      <c r="AV65" s="64"/>
      <c r="AW65" s="64"/>
      <c r="AX65" s="64"/>
      <c r="AY65" s="64"/>
      <c r="AZ65" s="64"/>
      <c r="BA65" s="64"/>
      <c r="BB65" s="64"/>
      <c r="BC65" s="64"/>
      <c r="BD65" s="64"/>
      <c r="BE65" s="64"/>
      <c r="BF65" s="64"/>
      <c r="BG65" s="64"/>
      <c r="BH65" s="64"/>
      <c r="BI65" s="64"/>
      <c r="BJ65" s="64"/>
      <c r="BK65" s="64"/>
      <c r="BL65" s="64"/>
      <c r="BM65" s="64"/>
      <c r="BN65" s="64"/>
      <c r="BO65" s="64"/>
      <c r="BP65" s="64"/>
      <c r="BQ65" s="64"/>
      <c r="BR65" s="64"/>
      <c r="BS65" s="64"/>
      <c r="BT65" s="64"/>
      <c r="BU65" s="64"/>
      <c r="BV65" s="64"/>
      <c r="BW65" s="64"/>
      <c r="BX65" s="64"/>
      <c r="BY65" s="64"/>
      <c r="BZ65" s="64"/>
      <c r="CA65" s="64"/>
      <c r="CB65" s="64"/>
      <c r="CC65" s="64"/>
      <c r="CD65" s="64"/>
      <c r="CE65" s="64"/>
      <c r="CF65" s="64"/>
      <c r="CG65" s="64"/>
      <c r="CH65" s="64"/>
    </row>
    <row r="66" spans="1:86" x14ac:dyDescent="0.35">
      <c r="A66" s="64"/>
      <c r="B66" s="64"/>
      <c r="C66" s="64"/>
      <c r="D66" s="64"/>
      <c r="E66" s="64"/>
      <c r="F66" s="64"/>
      <c r="G66" s="64"/>
      <c r="H66" s="64"/>
      <c r="I66" s="64"/>
      <c r="J66" s="64"/>
      <c r="K66" s="64"/>
      <c r="L66" s="64"/>
      <c r="M66" s="64"/>
      <c r="N66" s="64"/>
      <c r="O66" s="64"/>
      <c r="P66" s="64"/>
      <c r="Q66" s="64"/>
      <c r="R66" s="64"/>
      <c r="S66" s="64"/>
      <c r="T66" s="64"/>
      <c r="U66" s="64"/>
      <c r="V66" s="64"/>
      <c r="W66" s="64"/>
      <c r="X66" s="64"/>
      <c r="Y66" s="64"/>
      <c r="Z66" s="64"/>
      <c r="AA66" s="64"/>
      <c r="AB66" s="64"/>
      <c r="AC66" s="64"/>
      <c r="AD66" s="64"/>
      <c r="AE66" s="64"/>
      <c r="AF66" s="64"/>
      <c r="AG66" s="64"/>
      <c r="AH66" s="64"/>
      <c r="AI66" s="64"/>
      <c r="AJ66" s="64"/>
      <c r="AK66" s="64"/>
      <c r="AL66" s="64"/>
      <c r="AM66" s="64"/>
      <c r="AN66" s="64"/>
      <c r="AO66" s="64"/>
      <c r="AP66" s="64"/>
      <c r="AQ66" s="64"/>
      <c r="AR66" s="64"/>
      <c r="AS66" s="64"/>
      <c r="AT66" s="64"/>
      <c r="AU66" s="64"/>
      <c r="AV66" s="64"/>
      <c r="AW66" s="64"/>
      <c r="AX66" s="64"/>
      <c r="AY66" s="64"/>
      <c r="AZ66" s="64"/>
      <c r="BA66" s="64"/>
      <c r="BB66" s="64"/>
      <c r="BC66" s="64"/>
      <c r="BD66" s="64"/>
      <c r="BE66" s="64"/>
      <c r="BF66" s="64"/>
      <c r="BG66" s="64"/>
      <c r="BH66" s="64"/>
      <c r="BI66" s="64"/>
      <c r="BJ66" s="64"/>
      <c r="BK66" s="64"/>
      <c r="BL66" s="64"/>
      <c r="BM66" s="64"/>
      <c r="BN66" s="64"/>
      <c r="BO66" s="64"/>
      <c r="BP66" s="64"/>
      <c r="BQ66" s="64"/>
      <c r="BR66" s="64"/>
      <c r="BS66" s="64"/>
      <c r="BT66" s="64"/>
      <c r="BU66" s="64"/>
      <c r="BV66" s="64"/>
      <c r="BW66" s="64"/>
      <c r="BX66" s="64"/>
      <c r="BY66" s="64"/>
      <c r="BZ66" s="64"/>
      <c r="CA66" s="64"/>
      <c r="CB66" s="64"/>
      <c r="CC66" s="64"/>
      <c r="CD66" s="64"/>
      <c r="CE66" s="64"/>
      <c r="CF66" s="64"/>
      <c r="CG66" s="64"/>
      <c r="CH66" s="64"/>
    </row>
    <row r="67" spans="1:86" x14ac:dyDescent="0.35">
      <c r="A67" s="64"/>
      <c r="B67" s="64"/>
      <c r="C67" s="64"/>
      <c r="D67" s="64"/>
      <c r="E67" s="64"/>
      <c r="F67" s="64"/>
      <c r="G67" s="64"/>
      <c r="H67" s="64"/>
      <c r="I67" s="64"/>
      <c r="J67" s="64"/>
      <c r="K67" s="64"/>
      <c r="L67" s="64"/>
      <c r="M67" s="64"/>
      <c r="N67" s="64"/>
      <c r="O67" s="64"/>
      <c r="P67" s="64"/>
      <c r="Q67" s="64"/>
      <c r="R67" s="64"/>
      <c r="S67" s="64"/>
      <c r="T67" s="64"/>
      <c r="U67" s="64"/>
      <c r="V67" s="64"/>
      <c r="W67" s="64"/>
      <c r="X67" s="64"/>
      <c r="Y67" s="64"/>
      <c r="Z67" s="64"/>
      <c r="AA67" s="64"/>
      <c r="AB67" s="64"/>
      <c r="AC67" s="64"/>
      <c r="AD67" s="64"/>
      <c r="AE67" s="64"/>
      <c r="AF67" s="64"/>
      <c r="AG67" s="64"/>
      <c r="AH67" s="64"/>
      <c r="AI67" s="64"/>
      <c r="AJ67" s="64"/>
      <c r="AK67" s="64"/>
      <c r="AL67" s="64"/>
      <c r="AM67" s="64"/>
      <c r="AN67" s="64"/>
      <c r="AO67" s="64"/>
      <c r="AP67" s="64"/>
      <c r="AQ67" s="64"/>
      <c r="AR67" s="64"/>
      <c r="AS67" s="64"/>
      <c r="AT67" s="64"/>
      <c r="AU67" s="64"/>
      <c r="AV67" s="64"/>
      <c r="AW67" s="64"/>
      <c r="AX67" s="64"/>
      <c r="AY67" s="64"/>
      <c r="AZ67" s="64"/>
      <c r="BA67" s="64"/>
      <c r="BB67" s="64"/>
      <c r="BC67" s="64"/>
      <c r="BD67" s="64"/>
      <c r="BE67" s="64"/>
      <c r="BF67" s="64"/>
      <c r="BG67" s="64"/>
      <c r="BH67" s="64"/>
      <c r="BI67" s="64"/>
      <c r="BJ67" s="64"/>
      <c r="BK67" s="64"/>
      <c r="BL67" s="64"/>
      <c r="BM67" s="64"/>
      <c r="BN67" s="64"/>
      <c r="BO67" s="64"/>
      <c r="BP67" s="64"/>
      <c r="BQ67" s="64"/>
      <c r="BR67" s="64"/>
      <c r="BS67" s="64"/>
      <c r="BT67" s="64"/>
      <c r="BU67" s="64"/>
      <c r="BV67" s="64"/>
      <c r="BW67" s="64"/>
      <c r="BX67" s="64"/>
      <c r="BY67" s="64"/>
      <c r="BZ67" s="64"/>
      <c r="CA67" s="64"/>
      <c r="CB67" s="64"/>
      <c r="CC67" s="64"/>
      <c r="CD67" s="64"/>
      <c r="CE67" s="64"/>
      <c r="CF67" s="64"/>
      <c r="CG67" s="64"/>
      <c r="CH67" s="64"/>
    </row>
    <row r="68" spans="1:86" x14ac:dyDescent="0.35">
      <c r="A68" s="64"/>
      <c r="B68" s="64"/>
      <c r="C68" s="64"/>
      <c r="D68" s="64"/>
      <c r="E68" s="64"/>
      <c r="F68" s="64"/>
      <c r="G68" s="64"/>
      <c r="H68" s="64"/>
      <c r="I68" s="64"/>
      <c r="J68" s="64"/>
      <c r="K68" s="64"/>
      <c r="L68" s="64"/>
      <c r="M68" s="64"/>
      <c r="N68" s="64"/>
      <c r="O68" s="64"/>
      <c r="P68" s="64"/>
      <c r="Q68" s="64"/>
      <c r="R68" s="64"/>
      <c r="S68" s="64"/>
      <c r="T68" s="64"/>
      <c r="U68" s="64"/>
      <c r="V68" s="64"/>
      <c r="W68" s="64"/>
      <c r="X68" s="64"/>
      <c r="Y68" s="64"/>
      <c r="Z68" s="64"/>
      <c r="AA68" s="64"/>
      <c r="AB68" s="64"/>
      <c r="AC68" s="64"/>
      <c r="AD68" s="64"/>
      <c r="AE68" s="64"/>
      <c r="AF68" s="64"/>
      <c r="AG68" s="64"/>
      <c r="AH68" s="64"/>
      <c r="AI68" s="64"/>
      <c r="AJ68" s="64"/>
      <c r="AK68" s="64"/>
      <c r="AL68" s="64"/>
      <c r="AM68" s="64"/>
      <c r="AN68" s="64"/>
      <c r="AO68" s="64"/>
      <c r="AP68" s="64"/>
      <c r="AQ68" s="64"/>
      <c r="AR68" s="64"/>
      <c r="AS68" s="64"/>
      <c r="AT68" s="64"/>
      <c r="AU68" s="64"/>
      <c r="AV68" s="64"/>
      <c r="AW68" s="64"/>
      <c r="AX68" s="64"/>
      <c r="AY68" s="64"/>
      <c r="AZ68" s="64"/>
      <c r="BA68" s="64"/>
      <c r="BB68" s="64"/>
      <c r="BC68" s="64"/>
      <c r="BD68" s="64"/>
      <c r="BE68" s="64"/>
      <c r="BF68" s="64"/>
      <c r="BG68" s="64"/>
      <c r="BH68" s="64"/>
      <c r="BI68" s="64"/>
      <c r="BJ68" s="64"/>
      <c r="BK68" s="64"/>
      <c r="BL68" s="64"/>
      <c r="BM68" s="64"/>
      <c r="BN68" s="64"/>
      <c r="BO68" s="64"/>
      <c r="BP68" s="64"/>
      <c r="BQ68" s="64"/>
      <c r="BR68" s="64"/>
      <c r="BS68" s="64"/>
      <c r="BT68" s="64"/>
      <c r="BU68" s="64"/>
      <c r="BV68" s="64"/>
      <c r="BW68" s="64"/>
      <c r="BX68" s="64"/>
      <c r="BY68" s="64"/>
      <c r="BZ68" s="64"/>
      <c r="CA68" s="64"/>
      <c r="CB68" s="64"/>
      <c r="CC68" s="64"/>
      <c r="CD68" s="64"/>
      <c r="CE68" s="64"/>
      <c r="CF68" s="64"/>
      <c r="CG68" s="64"/>
      <c r="CH68" s="64"/>
    </row>
    <row r="69" spans="1:86" x14ac:dyDescent="0.35">
      <c r="A69" s="64"/>
      <c r="B69" s="64"/>
      <c r="C69" s="64"/>
      <c r="D69" s="64"/>
      <c r="E69" s="64"/>
      <c r="F69" s="64"/>
      <c r="G69" s="64"/>
      <c r="H69" s="64"/>
      <c r="I69" s="64"/>
      <c r="J69" s="64"/>
      <c r="K69" s="64"/>
      <c r="L69" s="64"/>
      <c r="M69" s="64"/>
      <c r="N69" s="64"/>
      <c r="O69" s="64"/>
      <c r="P69" s="64"/>
      <c r="Q69" s="64"/>
      <c r="R69" s="64"/>
      <c r="S69" s="64"/>
      <c r="T69" s="64"/>
      <c r="U69" s="64"/>
      <c r="V69" s="64"/>
      <c r="W69" s="64"/>
      <c r="X69" s="64"/>
      <c r="Y69" s="64"/>
      <c r="Z69" s="64"/>
      <c r="AA69" s="64"/>
      <c r="AB69" s="64"/>
      <c r="AC69" s="64"/>
      <c r="AD69" s="64"/>
      <c r="AE69" s="64"/>
      <c r="AF69" s="64"/>
      <c r="AG69" s="64"/>
      <c r="AH69" s="64"/>
      <c r="AI69" s="64"/>
      <c r="AJ69" s="64"/>
      <c r="AK69" s="64"/>
      <c r="AL69" s="64"/>
      <c r="AM69" s="64"/>
      <c r="AN69" s="64"/>
      <c r="AO69" s="64"/>
      <c r="AP69" s="64"/>
      <c r="AQ69" s="64"/>
      <c r="AR69" s="64"/>
      <c r="AS69" s="64"/>
      <c r="AT69" s="64"/>
      <c r="AU69" s="64"/>
      <c r="AV69" s="64"/>
      <c r="AW69" s="64"/>
      <c r="AX69" s="64"/>
      <c r="AY69" s="64"/>
      <c r="AZ69" s="64"/>
      <c r="BA69" s="64"/>
      <c r="BB69" s="64"/>
      <c r="BC69" s="64"/>
      <c r="BD69" s="64"/>
      <c r="BE69" s="64"/>
      <c r="BF69" s="64"/>
      <c r="BG69" s="64"/>
      <c r="BH69" s="64"/>
      <c r="BI69" s="64"/>
      <c r="BJ69" s="64"/>
      <c r="BK69" s="64"/>
      <c r="BL69" s="64"/>
      <c r="BM69" s="64"/>
      <c r="BN69" s="64"/>
      <c r="BO69" s="64"/>
      <c r="BP69" s="64"/>
      <c r="BQ69" s="64"/>
      <c r="BR69" s="64"/>
      <c r="BS69" s="64"/>
      <c r="BT69" s="64"/>
      <c r="BU69" s="64"/>
      <c r="BV69" s="64"/>
      <c r="BW69" s="64"/>
      <c r="BX69" s="64"/>
      <c r="BY69" s="64"/>
      <c r="BZ69" s="64"/>
      <c r="CA69" s="64"/>
      <c r="CB69" s="64"/>
      <c r="CC69" s="64"/>
      <c r="CD69" s="64"/>
      <c r="CE69" s="64"/>
      <c r="CF69" s="64"/>
      <c r="CG69" s="64"/>
      <c r="CH69" s="64"/>
    </row>
    <row r="70" spans="1:86" x14ac:dyDescent="0.35">
      <c r="A70" s="64"/>
      <c r="B70" s="64"/>
      <c r="C70" s="64"/>
      <c r="D70" s="64"/>
      <c r="E70" s="64"/>
      <c r="F70" s="64"/>
      <c r="G70" s="64"/>
      <c r="H70" s="64"/>
      <c r="I70" s="64"/>
      <c r="J70" s="64"/>
      <c r="K70" s="64"/>
      <c r="L70" s="64"/>
      <c r="M70" s="64"/>
      <c r="N70" s="64"/>
      <c r="O70" s="64"/>
      <c r="P70" s="64"/>
      <c r="Q70" s="64"/>
      <c r="R70" s="64"/>
      <c r="S70" s="64"/>
      <c r="T70" s="64"/>
      <c r="U70" s="64"/>
      <c r="V70" s="64"/>
      <c r="W70" s="64"/>
      <c r="X70" s="64"/>
      <c r="Y70" s="64"/>
      <c r="Z70" s="64"/>
      <c r="AA70" s="64"/>
      <c r="AB70" s="64"/>
      <c r="AC70" s="64"/>
      <c r="AD70" s="64"/>
      <c r="AE70" s="64"/>
      <c r="AF70" s="64"/>
      <c r="AG70" s="64"/>
      <c r="AH70" s="64"/>
      <c r="AI70" s="64"/>
      <c r="AJ70" s="64"/>
      <c r="AK70" s="64"/>
      <c r="AL70" s="64"/>
      <c r="AM70" s="64"/>
      <c r="AN70" s="64"/>
      <c r="AO70" s="64"/>
      <c r="AP70" s="64"/>
      <c r="AQ70" s="64"/>
      <c r="AR70" s="64"/>
      <c r="AS70" s="64"/>
      <c r="AT70" s="64"/>
      <c r="AU70" s="64"/>
      <c r="AV70" s="64"/>
      <c r="AW70" s="64"/>
      <c r="AX70" s="64"/>
      <c r="AY70" s="64"/>
      <c r="AZ70" s="64"/>
      <c r="BA70" s="64"/>
      <c r="BB70" s="64"/>
      <c r="BC70" s="64"/>
      <c r="BD70" s="64"/>
      <c r="BE70" s="64"/>
      <c r="BF70" s="64"/>
      <c r="BG70" s="64"/>
      <c r="BH70" s="64"/>
      <c r="BI70" s="64"/>
      <c r="BJ70" s="64"/>
      <c r="BK70" s="64"/>
      <c r="BL70" s="64"/>
      <c r="BM70" s="64"/>
      <c r="BN70" s="64"/>
      <c r="BO70" s="64"/>
      <c r="BP70" s="64"/>
      <c r="BQ70" s="64"/>
      <c r="BR70" s="64"/>
      <c r="BS70" s="64"/>
      <c r="BT70" s="64"/>
      <c r="BU70" s="64"/>
      <c r="BV70" s="64"/>
      <c r="BW70" s="64"/>
      <c r="BX70" s="64"/>
      <c r="BY70" s="64"/>
      <c r="BZ70" s="64"/>
      <c r="CA70" s="64"/>
      <c r="CB70" s="64"/>
      <c r="CC70" s="64"/>
      <c r="CD70" s="64"/>
      <c r="CE70" s="64"/>
      <c r="CF70" s="64"/>
      <c r="CG70" s="64"/>
      <c r="CH70" s="64"/>
    </row>
    <row r="71" spans="1:86" x14ac:dyDescent="0.35">
      <c r="A71" s="64"/>
      <c r="B71" s="64"/>
      <c r="C71" s="64"/>
      <c r="D71" s="64"/>
      <c r="E71" s="64"/>
      <c r="F71" s="64"/>
      <c r="G71" s="64"/>
      <c r="H71" s="64"/>
      <c r="I71" s="64"/>
      <c r="J71" s="64"/>
      <c r="K71" s="64"/>
      <c r="L71" s="64"/>
      <c r="M71" s="64"/>
      <c r="N71" s="64"/>
      <c r="O71" s="64"/>
      <c r="P71" s="64"/>
      <c r="Q71" s="64"/>
      <c r="R71" s="64"/>
      <c r="S71" s="64"/>
      <c r="T71" s="64"/>
      <c r="U71" s="64"/>
      <c r="V71" s="64"/>
      <c r="W71" s="64"/>
      <c r="X71" s="64"/>
      <c r="Y71" s="64"/>
      <c r="Z71" s="64"/>
      <c r="AA71" s="64"/>
      <c r="AB71" s="64"/>
      <c r="AC71" s="64"/>
      <c r="AD71" s="64"/>
      <c r="AE71" s="64"/>
      <c r="AF71" s="64"/>
      <c r="AG71" s="64"/>
      <c r="AH71" s="64"/>
      <c r="AI71" s="64"/>
      <c r="AJ71" s="64"/>
      <c r="AK71" s="64"/>
      <c r="AL71" s="64"/>
      <c r="AM71" s="64"/>
      <c r="AN71" s="64"/>
      <c r="AO71" s="64"/>
      <c r="AP71" s="64"/>
      <c r="AQ71" s="64"/>
      <c r="AR71" s="64"/>
      <c r="AS71" s="64"/>
      <c r="AT71" s="64"/>
      <c r="AU71" s="64"/>
      <c r="AV71" s="64"/>
      <c r="AW71" s="64"/>
      <c r="AX71" s="64"/>
      <c r="AY71" s="64"/>
      <c r="AZ71" s="64"/>
      <c r="BA71" s="64"/>
      <c r="BB71" s="64"/>
      <c r="BC71" s="64"/>
      <c r="BD71" s="64"/>
      <c r="BE71" s="64"/>
      <c r="BF71" s="64"/>
      <c r="BG71" s="64"/>
      <c r="BH71" s="64"/>
      <c r="BI71" s="64"/>
      <c r="BJ71" s="64"/>
      <c r="BK71" s="64"/>
      <c r="BL71" s="64"/>
      <c r="BM71" s="64"/>
      <c r="BN71" s="64"/>
      <c r="BO71" s="64"/>
      <c r="BP71" s="64"/>
      <c r="BQ71" s="64"/>
      <c r="BR71" s="64"/>
      <c r="BS71" s="64"/>
      <c r="BT71" s="64"/>
      <c r="BU71" s="64"/>
      <c r="BV71" s="64"/>
      <c r="BW71" s="64"/>
      <c r="BX71" s="64"/>
      <c r="BY71" s="64"/>
      <c r="BZ71" s="64"/>
      <c r="CA71" s="64"/>
      <c r="CB71" s="64"/>
      <c r="CC71" s="64"/>
      <c r="CD71" s="64"/>
      <c r="CE71" s="64"/>
      <c r="CF71" s="64"/>
      <c r="CG71" s="64"/>
      <c r="CH71" s="64"/>
    </row>
    <row r="72" spans="1:86" x14ac:dyDescent="0.35">
      <c r="A72" s="64"/>
      <c r="B72" s="64"/>
      <c r="C72" s="64"/>
      <c r="D72" s="64"/>
      <c r="E72" s="64"/>
      <c r="F72" s="64"/>
      <c r="G72" s="64"/>
      <c r="H72" s="64"/>
      <c r="I72" s="64"/>
      <c r="J72" s="64"/>
      <c r="K72" s="64"/>
      <c r="L72" s="64"/>
      <c r="M72" s="64"/>
      <c r="N72" s="64"/>
      <c r="O72" s="64"/>
      <c r="P72" s="64"/>
      <c r="Q72" s="64"/>
      <c r="R72" s="64"/>
      <c r="S72" s="64"/>
      <c r="T72" s="64"/>
      <c r="U72" s="64"/>
      <c r="V72" s="64"/>
      <c r="W72" s="64"/>
      <c r="X72" s="64"/>
      <c r="Y72" s="64"/>
      <c r="Z72" s="64"/>
      <c r="AA72" s="64"/>
      <c r="AB72" s="64"/>
      <c r="AC72" s="64"/>
      <c r="AD72" s="64"/>
      <c r="AE72" s="64"/>
      <c r="AF72" s="64"/>
      <c r="AG72" s="64"/>
      <c r="AH72" s="64"/>
      <c r="AI72" s="64"/>
      <c r="AJ72" s="64"/>
      <c r="AK72" s="64"/>
      <c r="AL72" s="64"/>
      <c r="AM72" s="64"/>
      <c r="AN72" s="64"/>
      <c r="AO72" s="64"/>
      <c r="AP72" s="64"/>
      <c r="AQ72" s="64"/>
      <c r="AR72" s="64"/>
      <c r="AS72" s="64"/>
      <c r="AT72" s="64"/>
      <c r="AU72" s="64"/>
      <c r="AV72" s="64"/>
      <c r="AW72" s="64"/>
      <c r="AX72" s="64"/>
      <c r="AY72" s="64"/>
      <c r="AZ72" s="64"/>
      <c r="BA72" s="64"/>
      <c r="BB72" s="64"/>
      <c r="BC72" s="64"/>
      <c r="BD72" s="64"/>
      <c r="BE72" s="64"/>
      <c r="BF72" s="64"/>
      <c r="BG72" s="64"/>
      <c r="BH72" s="64"/>
      <c r="BI72" s="64"/>
      <c r="BJ72" s="64"/>
      <c r="BK72" s="64"/>
      <c r="BL72" s="64"/>
      <c r="BM72" s="64"/>
      <c r="BN72" s="64"/>
      <c r="BO72" s="64"/>
      <c r="BP72" s="64"/>
      <c r="BQ72" s="64"/>
      <c r="BR72" s="64"/>
      <c r="BS72" s="64"/>
      <c r="BT72" s="64"/>
      <c r="BU72" s="64"/>
      <c r="BV72" s="64"/>
      <c r="BW72" s="64"/>
      <c r="BX72" s="64"/>
      <c r="BY72" s="64"/>
      <c r="BZ72" s="64"/>
      <c r="CA72" s="64"/>
      <c r="CB72" s="64"/>
      <c r="CC72" s="64"/>
      <c r="CD72" s="64"/>
      <c r="CE72" s="64"/>
      <c r="CF72" s="64"/>
      <c r="CG72" s="64"/>
      <c r="CH72" s="64"/>
    </row>
    <row r="73" spans="1:86" x14ac:dyDescent="0.35">
      <c r="A73" s="64"/>
      <c r="B73" s="64"/>
      <c r="C73" s="64"/>
      <c r="D73" s="64"/>
      <c r="E73" s="64"/>
      <c r="F73" s="64"/>
      <c r="G73" s="64"/>
      <c r="H73" s="64"/>
      <c r="I73" s="64"/>
      <c r="J73" s="64"/>
      <c r="K73" s="64"/>
      <c r="L73" s="64"/>
      <c r="M73" s="64"/>
      <c r="N73" s="64"/>
      <c r="O73" s="64"/>
      <c r="P73" s="64"/>
      <c r="Q73" s="64"/>
      <c r="R73" s="64"/>
      <c r="S73" s="64"/>
      <c r="T73" s="64"/>
      <c r="U73" s="64"/>
      <c r="V73" s="64"/>
      <c r="W73" s="64"/>
      <c r="X73" s="64"/>
      <c r="Y73" s="64"/>
      <c r="Z73" s="64"/>
      <c r="AA73" s="64"/>
      <c r="AB73" s="64"/>
      <c r="AC73" s="64"/>
      <c r="AD73" s="64"/>
      <c r="AE73" s="64"/>
      <c r="AF73" s="64"/>
      <c r="AG73" s="64"/>
      <c r="AH73" s="64"/>
      <c r="AI73" s="64"/>
      <c r="AJ73" s="64"/>
      <c r="AK73" s="64"/>
      <c r="AL73" s="64"/>
      <c r="AM73" s="64"/>
      <c r="AN73" s="64"/>
      <c r="AO73" s="64"/>
      <c r="AP73" s="64"/>
      <c r="AQ73" s="64"/>
      <c r="AR73" s="64"/>
      <c r="AS73" s="64"/>
      <c r="AT73" s="64"/>
      <c r="AU73" s="64"/>
      <c r="AV73" s="64"/>
      <c r="AW73" s="64"/>
      <c r="AX73" s="64"/>
      <c r="AY73" s="64"/>
      <c r="AZ73" s="64"/>
      <c r="BA73" s="64"/>
      <c r="BB73" s="64"/>
      <c r="BC73" s="64"/>
      <c r="BD73" s="64"/>
      <c r="BE73" s="64"/>
      <c r="BF73" s="64"/>
      <c r="BG73" s="64"/>
      <c r="BH73" s="64"/>
      <c r="BI73" s="64"/>
      <c r="BJ73" s="64"/>
      <c r="BK73" s="64"/>
      <c r="BL73" s="64"/>
      <c r="BM73" s="64"/>
      <c r="BN73" s="64"/>
      <c r="BO73" s="64"/>
      <c r="BP73" s="64"/>
      <c r="BQ73" s="64"/>
      <c r="BR73" s="64"/>
      <c r="BS73" s="64"/>
      <c r="BT73" s="64"/>
      <c r="BU73" s="64"/>
      <c r="BV73" s="64"/>
      <c r="BW73" s="64"/>
      <c r="BX73" s="64"/>
      <c r="BY73" s="64"/>
      <c r="BZ73" s="64"/>
      <c r="CA73" s="64"/>
      <c r="CB73" s="64"/>
      <c r="CC73" s="64"/>
      <c r="CD73" s="64"/>
      <c r="CE73" s="64"/>
      <c r="CF73" s="64"/>
      <c r="CG73" s="64"/>
      <c r="CH73" s="64"/>
    </row>
    <row r="74" spans="1:86" x14ac:dyDescent="0.35">
      <c r="A74" s="64"/>
      <c r="B74" s="64"/>
      <c r="C74" s="64"/>
      <c r="D74" s="64"/>
      <c r="E74" s="64"/>
      <c r="F74" s="64"/>
      <c r="G74" s="64"/>
      <c r="H74" s="64"/>
      <c r="I74" s="64"/>
      <c r="J74" s="64"/>
      <c r="K74" s="64"/>
      <c r="L74" s="64"/>
      <c r="M74" s="64"/>
      <c r="N74" s="64"/>
      <c r="O74" s="64"/>
      <c r="P74" s="64"/>
      <c r="Q74" s="64"/>
      <c r="R74" s="64"/>
      <c r="S74" s="64"/>
      <c r="T74" s="64"/>
      <c r="U74" s="64"/>
      <c r="V74" s="64"/>
      <c r="W74" s="64"/>
      <c r="X74" s="64"/>
      <c r="Y74" s="64"/>
      <c r="Z74" s="64"/>
      <c r="AA74" s="64"/>
      <c r="AB74" s="64"/>
      <c r="AC74" s="64"/>
      <c r="AD74" s="64"/>
      <c r="AE74" s="64"/>
      <c r="AF74" s="64"/>
      <c r="AG74" s="64"/>
      <c r="AH74" s="64"/>
      <c r="AI74" s="64"/>
      <c r="AJ74" s="64"/>
      <c r="AK74" s="64"/>
      <c r="AL74" s="64"/>
      <c r="AM74" s="64"/>
      <c r="AN74" s="64"/>
      <c r="AO74" s="64"/>
      <c r="AP74" s="64"/>
      <c r="AQ74" s="64"/>
      <c r="AR74" s="64"/>
      <c r="AS74" s="64"/>
      <c r="AT74" s="64"/>
      <c r="AU74" s="64"/>
      <c r="AV74" s="64"/>
      <c r="AW74" s="64"/>
      <c r="AX74" s="64"/>
      <c r="AY74" s="64"/>
      <c r="AZ74" s="64"/>
      <c r="BA74" s="64"/>
      <c r="BB74" s="64"/>
      <c r="BC74" s="64"/>
      <c r="BD74" s="64"/>
      <c r="BE74" s="64"/>
      <c r="BF74" s="64"/>
      <c r="BG74" s="64"/>
      <c r="BH74" s="64"/>
      <c r="BI74" s="64"/>
      <c r="BJ74" s="64"/>
      <c r="BK74" s="64"/>
      <c r="BL74" s="64"/>
      <c r="BM74" s="64"/>
      <c r="BN74" s="64"/>
      <c r="BO74" s="64"/>
      <c r="BP74" s="64"/>
      <c r="BQ74" s="64"/>
      <c r="BR74" s="64"/>
      <c r="BS74" s="64"/>
      <c r="BT74" s="64"/>
      <c r="BU74" s="64"/>
      <c r="BV74" s="64"/>
      <c r="BW74" s="64"/>
      <c r="BX74" s="64"/>
      <c r="BY74" s="64"/>
      <c r="BZ74" s="64"/>
      <c r="CA74" s="64"/>
      <c r="CB74" s="64"/>
      <c r="CC74" s="64"/>
      <c r="CD74" s="64"/>
      <c r="CE74" s="64"/>
      <c r="CF74" s="64"/>
      <c r="CG74" s="64"/>
      <c r="CH74" s="64"/>
    </row>
    <row r="75" spans="1:86" x14ac:dyDescent="0.35">
      <c r="A75" s="64"/>
      <c r="B75" s="64"/>
      <c r="C75" s="64"/>
      <c r="D75" s="64"/>
      <c r="E75" s="64"/>
      <c r="F75" s="64"/>
      <c r="G75" s="64"/>
      <c r="H75" s="64"/>
      <c r="I75" s="64"/>
      <c r="J75" s="64"/>
      <c r="K75" s="64"/>
      <c r="L75" s="64"/>
      <c r="M75" s="64"/>
      <c r="N75" s="64"/>
      <c r="O75" s="64"/>
      <c r="P75" s="64"/>
      <c r="Q75" s="64"/>
      <c r="R75" s="64"/>
      <c r="S75" s="64"/>
      <c r="T75" s="64"/>
      <c r="U75" s="64"/>
      <c r="V75" s="64"/>
      <c r="W75" s="64"/>
      <c r="X75" s="64"/>
      <c r="Y75" s="64"/>
      <c r="Z75" s="64"/>
      <c r="AA75" s="64"/>
      <c r="AB75" s="64"/>
      <c r="AC75" s="64"/>
      <c r="AD75" s="64"/>
      <c r="AE75" s="64"/>
      <c r="AF75" s="64"/>
      <c r="AG75" s="64"/>
      <c r="AH75" s="64"/>
      <c r="AI75" s="64"/>
      <c r="AJ75" s="64"/>
      <c r="AK75" s="64"/>
      <c r="AL75" s="64"/>
      <c r="AM75" s="64"/>
      <c r="AN75" s="64"/>
      <c r="AO75" s="64"/>
      <c r="AP75" s="64"/>
      <c r="AQ75" s="64"/>
      <c r="AR75" s="64"/>
      <c r="AS75" s="64"/>
      <c r="AT75" s="64"/>
      <c r="AU75" s="64"/>
      <c r="AV75" s="64"/>
      <c r="AW75" s="64"/>
      <c r="AX75" s="64"/>
      <c r="AY75" s="64"/>
      <c r="AZ75" s="64"/>
      <c r="BA75" s="64"/>
      <c r="BB75" s="64"/>
      <c r="BC75" s="64"/>
      <c r="BD75" s="64"/>
      <c r="BE75" s="64"/>
      <c r="BF75" s="64"/>
      <c r="BG75" s="64"/>
      <c r="BH75" s="64"/>
      <c r="BI75" s="64"/>
      <c r="BJ75" s="64"/>
      <c r="BK75" s="64"/>
      <c r="BL75" s="64"/>
      <c r="BM75" s="64"/>
      <c r="BN75" s="64"/>
      <c r="BO75" s="64"/>
      <c r="BP75" s="64"/>
      <c r="BQ75" s="64"/>
      <c r="BR75" s="64"/>
      <c r="BS75" s="64"/>
      <c r="BT75" s="64"/>
      <c r="BU75" s="64"/>
      <c r="BV75" s="64"/>
      <c r="BW75" s="64"/>
      <c r="BX75" s="64"/>
      <c r="BY75" s="64"/>
      <c r="BZ75" s="64"/>
      <c r="CA75" s="64"/>
      <c r="CB75" s="64"/>
      <c r="CC75" s="64"/>
      <c r="CD75" s="64"/>
      <c r="CE75" s="64"/>
      <c r="CF75" s="64"/>
      <c r="CG75" s="64"/>
      <c r="CH75" s="64"/>
    </row>
    <row r="76" spans="1:86" x14ac:dyDescent="0.35">
      <c r="A76" s="64"/>
      <c r="B76" s="64"/>
      <c r="C76" s="64"/>
      <c r="D76" s="64"/>
      <c r="E76" s="64"/>
      <c r="F76" s="64"/>
      <c r="G76" s="64"/>
      <c r="H76" s="64"/>
      <c r="I76" s="64"/>
      <c r="J76" s="64"/>
      <c r="K76" s="64"/>
      <c r="L76" s="64"/>
      <c r="M76" s="64"/>
      <c r="N76" s="64"/>
      <c r="O76" s="64"/>
      <c r="P76" s="64"/>
      <c r="Q76" s="64"/>
      <c r="R76" s="64"/>
      <c r="S76" s="64"/>
      <c r="T76" s="64"/>
      <c r="U76" s="64"/>
      <c r="V76" s="64"/>
      <c r="W76" s="64"/>
      <c r="X76" s="64"/>
      <c r="Y76" s="64"/>
      <c r="Z76" s="64"/>
      <c r="AA76" s="64"/>
      <c r="AB76" s="64"/>
      <c r="AC76" s="64"/>
      <c r="AD76" s="64"/>
      <c r="AE76" s="64"/>
      <c r="AF76" s="64"/>
      <c r="AG76" s="64"/>
      <c r="AH76" s="64"/>
      <c r="AI76" s="64"/>
      <c r="AJ76" s="64"/>
      <c r="AK76" s="64"/>
      <c r="AL76" s="64"/>
      <c r="AM76" s="64"/>
      <c r="AN76" s="64"/>
      <c r="AO76" s="64"/>
      <c r="AP76" s="64"/>
      <c r="AQ76" s="64"/>
      <c r="AR76" s="64"/>
      <c r="AS76" s="64"/>
      <c r="AT76" s="64"/>
      <c r="AU76" s="64"/>
      <c r="AV76" s="64"/>
      <c r="AW76" s="64"/>
      <c r="AX76" s="64"/>
      <c r="AY76" s="64"/>
      <c r="AZ76" s="64"/>
      <c r="BA76" s="64"/>
      <c r="BB76" s="64"/>
      <c r="BC76" s="64"/>
      <c r="BD76" s="64"/>
      <c r="BE76" s="64"/>
      <c r="BF76" s="64"/>
      <c r="BG76" s="64"/>
      <c r="BH76" s="64"/>
      <c r="BI76" s="64"/>
      <c r="BJ76" s="64"/>
      <c r="BK76" s="64"/>
      <c r="BL76" s="64"/>
      <c r="BM76" s="64"/>
      <c r="BN76" s="64"/>
      <c r="BO76" s="64"/>
      <c r="BP76" s="64"/>
      <c r="BQ76" s="64"/>
      <c r="BR76" s="64"/>
      <c r="BS76" s="64"/>
      <c r="BT76" s="64"/>
      <c r="BU76" s="64"/>
      <c r="BV76" s="64"/>
      <c r="BW76" s="64"/>
      <c r="BX76" s="64"/>
      <c r="BY76" s="64"/>
      <c r="BZ76" s="64"/>
      <c r="CA76" s="64"/>
      <c r="CB76" s="64"/>
      <c r="CC76" s="64"/>
      <c r="CD76" s="64"/>
      <c r="CE76" s="64"/>
      <c r="CF76" s="64"/>
      <c r="CG76" s="64"/>
      <c r="CH76" s="64"/>
    </row>
    <row r="77" spans="1:86" x14ac:dyDescent="0.35">
      <c r="A77" s="64"/>
      <c r="B77" s="64"/>
      <c r="C77" s="64"/>
      <c r="D77" s="64"/>
      <c r="E77" s="64"/>
      <c r="F77" s="64"/>
      <c r="G77" s="64"/>
      <c r="H77" s="64"/>
      <c r="I77" s="64"/>
      <c r="J77" s="64"/>
      <c r="K77" s="64"/>
      <c r="L77" s="64"/>
      <c r="M77" s="64"/>
      <c r="N77" s="64"/>
      <c r="O77" s="64"/>
      <c r="P77" s="64"/>
      <c r="Q77" s="64"/>
      <c r="R77" s="64"/>
      <c r="S77" s="64"/>
      <c r="T77" s="64"/>
      <c r="U77" s="64"/>
      <c r="V77" s="64"/>
      <c r="W77" s="64"/>
      <c r="X77" s="64"/>
      <c r="Y77" s="64"/>
      <c r="Z77" s="64"/>
      <c r="AA77" s="64"/>
      <c r="AB77" s="64"/>
      <c r="AC77" s="64"/>
      <c r="AD77" s="64"/>
      <c r="AE77" s="64"/>
      <c r="AF77" s="64"/>
      <c r="AG77" s="64"/>
      <c r="AH77" s="64"/>
      <c r="AI77" s="64"/>
      <c r="AJ77" s="64"/>
      <c r="AK77" s="64"/>
      <c r="AL77" s="64"/>
      <c r="AM77" s="64"/>
      <c r="AN77" s="64"/>
      <c r="AO77" s="64"/>
      <c r="AP77" s="64"/>
      <c r="AQ77" s="64"/>
      <c r="AR77" s="64"/>
      <c r="AS77" s="64"/>
      <c r="AT77" s="64"/>
      <c r="AU77" s="64"/>
      <c r="AV77" s="64"/>
      <c r="AW77" s="64"/>
      <c r="AX77" s="64"/>
      <c r="AY77" s="64"/>
      <c r="AZ77" s="64"/>
      <c r="BA77" s="64"/>
      <c r="BB77" s="64"/>
      <c r="BC77" s="64"/>
      <c r="BD77" s="64"/>
      <c r="BE77" s="64"/>
      <c r="BF77" s="64"/>
      <c r="BG77" s="64"/>
      <c r="BH77" s="64"/>
      <c r="BI77" s="64"/>
      <c r="BJ77" s="64"/>
      <c r="BK77" s="64"/>
      <c r="BL77" s="64"/>
      <c r="BM77" s="64"/>
      <c r="BN77" s="64"/>
      <c r="BO77" s="64"/>
      <c r="BP77" s="64"/>
      <c r="BQ77" s="64"/>
      <c r="BR77" s="64"/>
      <c r="BS77" s="64"/>
      <c r="BT77" s="64"/>
      <c r="BU77" s="64"/>
      <c r="BV77" s="64"/>
      <c r="BW77" s="64"/>
      <c r="BX77" s="64"/>
      <c r="BY77" s="64"/>
      <c r="BZ77" s="64"/>
      <c r="CA77" s="64"/>
      <c r="CB77" s="64"/>
      <c r="CC77" s="64"/>
      <c r="CD77" s="64"/>
      <c r="CE77" s="64"/>
      <c r="CF77" s="64"/>
      <c r="CG77" s="64"/>
      <c r="CH77" s="64"/>
    </row>
    <row r="78" spans="1:86" x14ac:dyDescent="0.35">
      <c r="A78" s="64"/>
      <c r="B78" s="64"/>
      <c r="C78" s="64"/>
      <c r="D78" s="64"/>
      <c r="E78" s="64"/>
      <c r="F78" s="64"/>
      <c r="G78" s="64"/>
      <c r="H78" s="64"/>
      <c r="I78" s="64"/>
      <c r="J78" s="64"/>
      <c r="K78" s="64"/>
      <c r="L78" s="64"/>
      <c r="M78" s="64"/>
      <c r="N78" s="64"/>
      <c r="O78" s="64"/>
      <c r="P78" s="64"/>
      <c r="Q78" s="64"/>
      <c r="R78" s="64"/>
      <c r="S78" s="64"/>
      <c r="T78" s="64"/>
      <c r="U78" s="64"/>
      <c r="V78" s="64"/>
      <c r="W78" s="64"/>
      <c r="X78" s="64"/>
      <c r="Y78" s="64"/>
      <c r="Z78" s="64"/>
      <c r="AA78" s="64"/>
      <c r="AB78" s="64"/>
      <c r="AC78" s="64"/>
      <c r="AD78" s="64"/>
      <c r="AE78" s="64"/>
      <c r="AF78" s="64"/>
      <c r="AG78" s="64"/>
      <c r="AH78" s="64"/>
      <c r="AI78" s="64"/>
      <c r="AJ78" s="64"/>
      <c r="AK78" s="64"/>
      <c r="AL78" s="64"/>
      <c r="AM78" s="64"/>
      <c r="AN78" s="64"/>
      <c r="AO78" s="64"/>
      <c r="AP78" s="64"/>
      <c r="AQ78" s="64"/>
      <c r="AR78" s="64"/>
      <c r="AS78" s="64"/>
      <c r="AT78" s="64"/>
      <c r="AU78" s="64"/>
      <c r="AV78" s="64"/>
      <c r="AW78" s="64"/>
      <c r="AX78" s="64"/>
      <c r="AY78" s="64"/>
      <c r="AZ78" s="64"/>
      <c r="BA78" s="64"/>
      <c r="BB78" s="64"/>
      <c r="BC78" s="64"/>
      <c r="BD78" s="64"/>
      <c r="BE78" s="64"/>
      <c r="BF78" s="64"/>
      <c r="BG78" s="64"/>
      <c r="BH78" s="64"/>
      <c r="BI78" s="64"/>
      <c r="BJ78" s="64"/>
      <c r="BK78" s="64"/>
      <c r="BL78" s="64"/>
      <c r="BM78" s="64"/>
      <c r="BN78" s="64"/>
      <c r="BO78" s="64"/>
      <c r="BP78" s="64"/>
      <c r="BQ78" s="64"/>
      <c r="BR78" s="64"/>
      <c r="BS78" s="64"/>
      <c r="BT78" s="64"/>
      <c r="BU78" s="64"/>
      <c r="BV78" s="64"/>
      <c r="BW78" s="64"/>
      <c r="BX78" s="64"/>
      <c r="BY78" s="64"/>
      <c r="BZ78" s="64"/>
      <c r="CA78" s="64"/>
      <c r="CB78" s="64"/>
      <c r="CC78" s="64"/>
      <c r="CD78" s="64"/>
      <c r="CE78" s="64"/>
      <c r="CF78" s="64"/>
      <c r="CG78" s="64"/>
      <c r="CH78" s="64"/>
    </row>
    <row r="79" spans="1:86" x14ac:dyDescent="0.35">
      <c r="A79" s="64"/>
      <c r="B79" s="64"/>
      <c r="C79" s="64"/>
      <c r="D79" s="64"/>
      <c r="E79" s="64"/>
      <c r="F79" s="64"/>
      <c r="G79" s="64"/>
      <c r="H79" s="64"/>
      <c r="I79" s="64"/>
      <c r="J79" s="64"/>
      <c r="K79" s="64"/>
      <c r="L79" s="64"/>
      <c r="M79" s="64"/>
      <c r="N79" s="64"/>
      <c r="O79" s="64"/>
      <c r="P79" s="64"/>
      <c r="Q79" s="64"/>
      <c r="R79" s="64"/>
      <c r="S79" s="64"/>
      <c r="T79" s="64"/>
      <c r="U79" s="64"/>
      <c r="V79" s="64"/>
      <c r="W79" s="64"/>
      <c r="X79" s="64"/>
      <c r="Y79" s="64"/>
      <c r="Z79" s="64"/>
      <c r="AA79" s="64"/>
      <c r="AB79" s="64"/>
      <c r="AC79" s="64"/>
      <c r="AD79" s="64"/>
      <c r="AE79" s="64"/>
      <c r="AF79" s="64"/>
      <c r="AG79" s="64"/>
      <c r="AH79" s="64"/>
      <c r="AI79" s="64"/>
      <c r="AJ79" s="64"/>
      <c r="AK79" s="64"/>
      <c r="AL79" s="64"/>
      <c r="AM79" s="64"/>
      <c r="AN79" s="64"/>
      <c r="AO79" s="64"/>
      <c r="AP79" s="64"/>
      <c r="AQ79" s="64"/>
      <c r="AR79" s="64"/>
      <c r="AS79" s="64"/>
      <c r="AT79" s="64"/>
      <c r="AU79" s="64"/>
      <c r="AV79" s="64"/>
      <c r="AW79" s="64"/>
      <c r="AX79" s="64"/>
      <c r="AY79" s="64"/>
      <c r="AZ79" s="64"/>
      <c r="BA79" s="64"/>
      <c r="BB79" s="64"/>
      <c r="BC79" s="64"/>
      <c r="BD79" s="64"/>
      <c r="BE79" s="64"/>
      <c r="BF79" s="64"/>
      <c r="BG79" s="64"/>
      <c r="BH79" s="64"/>
      <c r="BI79" s="64"/>
      <c r="BJ79" s="64"/>
      <c r="BK79" s="64"/>
      <c r="BL79" s="64"/>
      <c r="BM79" s="64"/>
      <c r="BN79" s="64"/>
      <c r="BO79" s="64"/>
      <c r="BP79" s="64"/>
      <c r="BQ79" s="64"/>
      <c r="BR79" s="64"/>
      <c r="BS79" s="64"/>
      <c r="BT79" s="64"/>
      <c r="BU79" s="64"/>
      <c r="BV79" s="64"/>
      <c r="BW79" s="64"/>
      <c r="BX79" s="64"/>
      <c r="BY79" s="64"/>
      <c r="BZ79" s="64"/>
      <c r="CA79" s="64"/>
      <c r="CB79" s="64"/>
      <c r="CC79" s="64"/>
      <c r="CD79" s="64"/>
      <c r="CE79" s="64"/>
      <c r="CF79" s="64"/>
      <c r="CG79" s="64"/>
      <c r="CH79" s="64"/>
    </row>
    <row r="80" spans="1:86" x14ac:dyDescent="0.35">
      <c r="A80" s="64"/>
      <c r="B80" s="64"/>
      <c r="C80" s="64"/>
      <c r="D80" s="64"/>
      <c r="E80" s="64"/>
      <c r="F80" s="64"/>
      <c r="G80" s="64"/>
      <c r="H80" s="64"/>
      <c r="I80" s="64"/>
      <c r="J80" s="64"/>
      <c r="K80" s="64"/>
      <c r="L80" s="64"/>
      <c r="M80" s="64"/>
      <c r="N80" s="64"/>
      <c r="O80" s="64"/>
      <c r="P80" s="64"/>
      <c r="Q80" s="64"/>
      <c r="R80" s="64"/>
      <c r="S80" s="64"/>
      <c r="T80" s="64"/>
      <c r="U80" s="64"/>
      <c r="V80" s="64"/>
      <c r="W80" s="64"/>
      <c r="X80" s="64"/>
      <c r="Y80" s="64"/>
      <c r="Z80" s="64"/>
      <c r="AA80" s="64"/>
      <c r="AB80" s="64"/>
      <c r="AC80" s="64"/>
      <c r="AD80" s="64"/>
      <c r="AE80" s="64"/>
      <c r="AF80" s="64"/>
      <c r="AG80" s="64"/>
      <c r="AH80" s="64"/>
      <c r="AI80" s="64"/>
      <c r="AJ80" s="64"/>
      <c r="AK80" s="64"/>
      <c r="AL80" s="64"/>
      <c r="AM80" s="64"/>
      <c r="AN80" s="64"/>
      <c r="AO80" s="64"/>
      <c r="AP80" s="64"/>
      <c r="AQ80" s="64"/>
      <c r="AR80" s="64"/>
      <c r="AS80" s="64"/>
      <c r="AT80" s="64"/>
      <c r="AU80" s="64"/>
      <c r="AV80" s="64"/>
      <c r="AW80" s="64"/>
      <c r="AX80" s="64"/>
      <c r="AY80" s="64"/>
      <c r="AZ80" s="64"/>
      <c r="BA80" s="64"/>
      <c r="BB80" s="64"/>
      <c r="BC80" s="64"/>
      <c r="BD80" s="64"/>
      <c r="BE80" s="64"/>
      <c r="BF80" s="64"/>
      <c r="BG80" s="64"/>
      <c r="BH80" s="64"/>
      <c r="BI80" s="64"/>
      <c r="BJ80" s="64"/>
      <c r="BK80" s="64"/>
      <c r="BL80" s="64"/>
      <c r="BM80" s="64"/>
      <c r="BN80" s="64"/>
      <c r="BO80" s="64"/>
      <c r="BP80" s="64"/>
      <c r="BQ80" s="64"/>
      <c r="BR80" s="64"/>
      <c r="BS80" s="64"/>
      <c r="BT80" s="64"/>
      <c r="BU80" s="64"/>
      <c r="BV80" s="64"/>
      <c r="BW80" s="64"/>
      <c r="BX80" s="64"/>
      <c r="BY80" s="64"/>
      <c r="BZ80" s="64"/>
      <c r="CA80" s="64"/>
      <c r="CB80" s="64"/>
      <c r="CC80" s="64"/>
      <c r="CD80" s="64"/>
      <c r="CE80" s="64"/>
      <c r="CF80" s="64"/>
      <c r="CG80" s="64"/>
      <c r="CH80" s="64"/>
    </row>
    <row r="81" spans="1:86" x14ac:dyDescent="0.35">
      <c r="A81" s="64"/>
      <c r="B81" s="64"/>
      <c r="C81" s="64"/>
      <c r="D81" s="64"/>
      <c r="E81" s="64"/>
      <c r="F81" s="64"/>
      <c r="G81" s="64"/>
      <c r="H81" s="64"/>
      <c r="I81" s="64"/>
      <c r="J81" s="64"/>
      <c r="K81" s="64"/>
      <c r="L81" s="64"/>
      <c r="M81" s="64"/>
      <c r="N81" s="64"/>
      <c r="O81" s="64"/>
      <c r="P81" s="64"/>
      <c r="Q81" s="64"/>
      <c r="R81" s="64"/>
      <c r="S81" s="64"/>
      <c r="T81" s="64"/>
      <c r="U81" s="64"/>
      <c r="V81" s="64"/>
      <c r="W81" s="64"/>
      <c r="X81" s="64"/>
      <c r="Y81" s="64"/>
      <c r="Z81" s="64"/>
      <c r="AA81" s="64"/>
      <c r="AB81" s="64"/>
      <c r="AC81" s="64"/>
      <c r="AD81" s="64"/>
      <c r="AE81" s="64"/>
      <c r="AF81" s="64"/>
      <c r="AG81" s="64"/>
      <c r="AH81" s="64"/>
      <c r="AI81" s="64"/>
      <c r="AJ81" s="64"/>
      <c r="AK81" s="64"/>
      <c r="AL81" s="64"/>
      <c r="AM81" s="64"/>
      <c r="AN81" s="64"/>
      <c r="AO81" s="64"/>
      <c r="AP81" s="64"/>
      <c r="AQ81" s="64"/>
      <c r="AR81" s="64"/>
      <c r="AS81" s="64"/>
      <c r="AT81" s="64"/>
      <c r="AU81" s="64"/>
      <c r="AV81" s="64"/>
      <c r="AW81" s="64"/>
      <c r="AX81" s="64"/>
      <c r="AY81" s="64"/>
      <c r="AZ81" s="64"/>
      <c r="BA81" s="64"/>
      <c r="BB81" s="64"/>
      <c r="BC81" s="64"/>
      <c r="BD81" s="64"/>
      <c r="BE81" s="64"/>
      <c r="BF81" s="64"/>
      <c r="BG81" s="64"/>
      <c r="BH81" s="64"/>
      <c r="BI81" s="64"/>
      <c r="BJ81" s="64"/>
      <c r="BK81" s="64"/>
      <c r="BL81" s="64"/>
      <c r="BM81" s="64"/>
      <c r="BN81" s="64"/>
      <c r="BO81" s="64"/>
      <c r="BP81" s="64"/>
      <c r="BQ81" s="64"/>
      <c r="BR81" s="64"/>
      <c r="BS81" s="64"/>
      <c r="BT81" s="64"/>
      <c r="BU81" s="64"/>
      <c r="BV81" s="64"/>
      <c r="BW81" s="64"/>
      <c r="BX81" s="64"/>
      <c r="BY81" s="64"/>
      <c r="BZ81" s="64"/>
      <c r="CA81" s="64"/>
      <c r="CB81" s="64"/>
      <c r="CC81" s="64"/>
      <c r="CD81" s="64"/>
      <c r="CE81" s="64"/>
      <c r="CF81" s="64"/>
      <c r="CG81" s="64"/>
      <c r="CH81" s="64"/>
    </row>
    <row r="82" spans="1:86" x14ac:dyDescent="0.35">
      <c r="A82" s="64"/>
      <c r="B82" s="64"/>
      <c r="C82" s="64"/>
      <c r="D82" s="64"/>
      <c r="E82" s="64"/>
      <c r="F82" s="64"/>
      <c r="G82" s="64"/>
      <c r="H82" s="64"/>
      <c r="I82" s="64"/>
      <c r="J82" s="64"/>
      <c r="K82" s="64"/>
      <c r="L82" s="64"/>
      <c r="M82" s="64"/>
      <c r="N82" s="64"/>
      <c r="O82" s="64"/>
      <c r="P82" s="64"/>
      <c r="Q82" s="64"/>
      <c r="R82" s="64"/>
      <c r="S82" s="64"/>
      <c r="T82" s="64"/>
      <c r="U82" s="64"/>
      <c r="V82" s="64"/>
      <c r="W82" s="64"/>
      <c r="X82" s="64"/>
      <c r="Y82" s="64"/>
      <c r="Z82" s="64"/>
      <c r="AA82" s="64"/>
      <c r="AB82" s="64"/>
      <c r="AC82" s="64"/>
      <c r="AD82" s="64"/>
      <c r="AE82" s="64"/>
      <c r="AF82" s="64"/>
      <c r="AG82" s="64"/>
      <c r="AH82" s="64"/>
      <c r="AI82" s="64"/>
      <c r="AJ82" s="64"/>
      <c r="AK82" s="64"/>
      <c r="AL82" s="64"/>
      <c r="AM82" s="64"/>
      <c r="AN82" s="64"/>
      <c r="AO82" s="64"/>
      <c r="AP82" s="64"/>
      <c r="AQ82" s="64"/>
      <c r="AR82" s="64"/>
      <c r="AS82" s="64"/>
      <c r="AT82" s="64"/>
      <c r="AU82" s="64"/>
      <c r="AV82" s="64"/>
      <c r="AW82" s="64"/>
      <c r="AX82" s="64"/>
      <c r="AY82" s="64"/>
      <c r="AZ82" s="64"/>
      <c r="BA82" s="64"/>
      <c r="BB82" s="64"/>
      <c r="BC82" s="64"/>
      <c r="BD82" s="64"/>
      <c r="BE82" s="64"/>
      <c r="BF82" s="64"/>
      <c r="BG82" s="64"/>
      <c r="BH82" s="64"/>
      <c r="BI82" s="64"/>
      <c r="BJ82" s="64"/>
      <c r="BK82" s="64"/>
      <c r="BL82" s="64"/>
      <c r="BM82" s="64"/>
      <c r="BN82" s="64"/>
      <c r="BO82" s="64"/>
      <c r="BP82" s="64"/>
      <c r="BQ82" s="64"/>
      <c r="BR82" s="64"/>
      <c r="BS82" s="64"/>
      <c r="BT82" s="64"/>
      <c r="BU82" s="64"/>
      <c r="BV82" s="64"/>
      <c r="BW82" s="64"/>
      <c r="BX82" s="64"/>
      <c r="BY82" s="64"/>
      <c r="BZ82" s="64"/>
      <c r="CA82" s="64"/>
      <c r="CB82" s="64"/>
      <c r="CC82" s="64"/>
      <c r="CD82" s="64"/>
      <c r="CE82" s="64"/>
      <c r="CF82" s="64"/>
      <c r="CG82" s="64"/>
      <c r="CH82" s="64"/>
    </row>
    <row r="83" spans="1:86" x14ac:dyDescent="0.35">
      <c r="A83" s="64"/>
      <c r="B83" s="64"/>
      <c r="C83" s="64"/>
      <c r="D83" s="64"/>
      <c r="E83" s="64"/>
      <c r="F83" s="64"/>
      <c r="G83" s="64"/>
      <c r="H83" s="64"/>
      <c r="I83" s="64"/>
      <c r="J83" s="64"/>
      <c r="K83" s="64"/>
      <c r="L83" s="64"/>
      <c r="M83" s="64"/>
      <c r="N83" s="64"/>
      <c r="O83" s="64"/>
      <c r="P83" s="64"/>
      <c r="Q83" s="64"/>
      <c r="R83" s="64"/>
      <c r="S83" s="64"/>
      <c r="T83" s="64"/>
      <c r="U83" s="64"/>
      <c r="V83" s="64"/>
      <c r="W83" s="64"/>
      <c r="X83" s="64"/>
      <c r="Y83" s="64"/>
      <c r="Z83" s="64"/>
      <c r="AA83" s="64"/>
      <c r="AB83" s="64"/>
      <c r="AC83" s="64"/>
      <c r="AD83" s="64"/>
      <c r="AE83" s="64"/>
      <c r="AF83" s="64"/>
      <c r="AG83" s="64"/>
      <c r="AH83" s="64"/>
      <c r="AI83" s="64"/>
      <c r="AJ83" s="64"/>
      <c r="AK83" s="64"/>
      <c r="AL83" s="64"/>
      <c r="AM83" s="64"/>
      <c r="AN83" s="64"/>
      <c r="AO83" s="64"/>
      <c r="AP83" s="64"/>
      <c r="AQ83" s="64"/>
      <c r="AR83" s="64"/>
      <c r="AS83" s="64"/>
      <c r="AT83" s="64"/>
      <c r="AU83" s="64"/>
      <c r="AV83" s="64"/>
      <c r="AW83" s="64"/>
      <c r="AX83" s="64"/>
      <c r="AY83" s="64"/>
      <c r="AZ83" s="64"/>
      <c r="BA83" s="64"/>
      <c r="BB83" s="64"/>
      <c r="BC83" s="64"/>
      <c r="BD83" s="64"/>
      <c r="BE83" s="64"/>
      <c r="BF83" s="64"/>
      <c r="BG83" s="64"/>
      <c r="BH83" s="64"/>
      <c r="BI83" s="64"/>
      <c r="BJ83" s="64"/>
      <c r="BK83" s="64"/>
      <c r="BL83" s="64"/>
      <c r="BM83" s="64"/>
      <c r="BN83" s="64"/>
      <c r="BO83" s="64"/>
      <c r="BP83" s="64"/>
      <c r="BQ83" s="64"/>
      <c r="BR83" s="64"/>
      <c r="BS83" s="64"/>
      <c r="BT83" s="64"/>
      <c r="BU83" s="64"/>
      <c r="BV83" s="64"/>
      <c r="BW83" s="64"/>
      <c r="BX83" s="64"/>
      <c r="BY83" s="64"/>
      <c r="BZ83" s="64"/>
      <c r="CA83" s="64"/>
      <c r="CB83" s="64"/>
      <c r="CC83" s="64"/>
      <c r="CD83" s="64"/>
      <c r="CE83" s="64"/>
      <c r="CF83" s="64"/>
      <c r="CG83" s="64"/>
      <c r="CH83" s="64"/>
    </row>
    <row r="84" spans="1:86" x14ac:dyDescent="0.35">
      <c r="A84" s="64"/>
      <c r="B84" s="64"/>
      <c r="C84" s="64"/>
      <c r="D84" s="64"/>
      <c r="E84" s="64"/>
      <c r="F84" s="64"/>
      <c r="G84" s="64"/>
      <c r="H84" s="64"/>
      <c r="I84" s="64"/>
      <c r="J84" s="64"/>
      <c r="K84" s="64"/>
      <c r="L84" s="64"/>
      <c r="M84" s="64"/>
      <c r="N84" s="64"/>
      <c r="O84" s="64"/>
      <c r="P84" s="64"/>
      <c r="Q84" s="64"/>
      <c r="R84" s="64"/>
      <c r="S84" s="64"/>
      <c r="T84" s="64"/>
      <c r="U84" s="64"/>
      <c r="V84" s="64"/>
      <c r="W84" s="64"/>
      <c r="X84" s="64"/>
      <c r="Y84" s="64"/>
      <c r="Z84" s="64"/>
      <c r="AA84" s="64"/>
      <c r="AB84" s="64"/>
      <c r="AC84" s="64"/>
      <c r="AD84" s="64"/>
      <c r="AE84" s="64"/>
      <c r="AF84" s="64"/>
      <c r="AG84" s="64"/>
      <c r="AH84" s="64"/>
      <c r="AI84" s="64"/>
      <c r="AJ84" s="64"/>
      <c r="AK84" s="64"/>
      <c r="AL84" s="64"/>
      <c r="AM84" s="64"/>
      <c r="AN84" s="64"/>
      <c r="AO84" s="64"/>
      <c r="AP84" s="64"/>
      <c r="AQ84" s="64"/>
      <c r="AR84" s="64"/>
      <c r="AS84" s="64"/>
      <c r="AT84" s="64"/>
      <c r="AU84" s="64"/>
      <c r="AV84" s="64"/>
      <c r="AW84" s="64"/>
      <c r="AX84" s="64"/>
      <c r="AY84" s="64"/>
      <c r="AZ84" s="64"/>
      <c r="BA84" s="64"/>
      <c r="BB84" s="64"/>
      <c r="BC84" s="64"/>
      <c r="BD84" s="64"/>
      <c r="BE84" s="64"/>
      <c r="BF84" s="64"/>
      <c r="BG84" s="64"/>
      <c r="BH84" s="64"/>
      <c r="BI84" s="64"/>
      <c r="BJ84" s="64"/>
      <c r="BK84" s="64"/>
      <c r="BL84" s="64"/>
      <c r="BM84" s="64"/>
      <c r="BN84" s="64"/>
      <c r="BO84" s="64"/>
      <c r="BP84" s="64"/>
      <c r="BQ84" s="64"/>
      <c r="BR84" s="64"/>
      <c r="BS84" s="64"/>
      <c r="BT84" s="64"/>
      <c r="BU84" s="64"/>
      <c r="BV84" s="64"/>
      <c r="BW84" s="64"/>
      <c r="BX84" s="64"/>
      <c r="BY84" s="64"/>
      <c r="BZ84" s="64"/>
      <c r="CA84" s="64"/>
      <c r="CB84" s="64"/>
      <c r="CC84" s="64"/>
      <c r="CD84" s="64"/>
      <c r="CE84" s="64"/>
      <c r="CF84" s="64"/>
      <c r="CG84" s="64"/>
      <c r="CH84" s="64"/>
    </row>
    <row r="85" spans="1:86" x14ac:dyDescent="0.35">
      <c r="A85" s="64"/>
      <c r="B85" s="64"/>
      <c r="C85" s="64"/>
      <c r="D85" s="64"/>
      <c r="E85" s="64"/>
      <c r="F85" s="64"/>
      <c r="G85" s="64"/>
      <c r="H85" s="64"/>
      <c r="I85" s="64"/>
      <c r="J85" s="64"/>
      <c r="K85" s="64"/>
      <c r="L85" s="64"/>
      <c r="M85" s="64"/>
      <c r="N85" s="64"/>
      <c r="O85" s="64"/>
      <c r="P85" s="64"/>
      <c r="Q85" s="64"/>
      <c r="R85" s="64"/>
      <c r="S85" s="64"/>
      <c r="T85" s="64"/>
      <c r="U85" s="64"/>
      <c r="V85" s="64"/>
      <c r="W85" s="64"/>
      <c r="X85" s="64"/>
      <c r="Y85" s="64"/>
      <c r="Z85" s="64"/>
      <c r="AA85" s="64"/>
      <c r="AB85" s="64"/>
      <c r="AC85" s="64"/>
      <c r="AD85" s="64"/>
      <c r="AE85" s="64"/>
      <c r="AF85" s="64"/>
      <c r="AG85" s="64"/>
      <c r="AH85" s="64"/>
      <c r="AI85" s="64"/>
      <c r="AJ85" s="64"/>
      <c r="AK85" s="64"/>
      <c r="AL85" s="64"/>
      <c r="AM85" s="64"/>
      <c r="AN85" s="64"/>
      <c r="AO85" s="64"/>
      <c r="AP85" s="64"/>
      <c r="AQ85" s="64"/>
      <c r="AR85" s="64"/>
      <c r="AS85" s="64"/>
      <c r="AT85" s="64"/>
      <c r="AU85" s="64"/>
      <c r="AV85" s="64"/>
      <c r="AW85" s="64"/>
      <c r="AX85" s="64"/>
      <c r="AY85" s="64"/>
      <c r="AZ85" s="64"/>
      <c r="BA85" s="64"/>
      <c r="BB85" s="64"/>
      <c r="BC85" s="64"/>
      <c r="BD85" s="64"/>
      <c r="BE85" s="64"/>
      <c r="BF85" s="64"/>
      <c r="BG85" s="64"/>
      <c r="BH85" s="64"/>
      <c r="BI85" s="64"/>
      <c r="BJ85" s="64"/>
      <c r="BK85" s="64"/>
      <c r="BL85" s="64"/>
      <c r="BM85" s="64"/>
      <c r="BN85" s="64"/>
      <c r="BO85" s="64"/>
      <c r="BP85" s="64"/>
      <c r="BQ85" s="64"/>
      <c r="BR85" s="64"/>
      <c r="BS85" s="64"/>
      <c r="BT85" s="64"/>
      <c r="BU85" s="64"/>
      <c r="BV85" s="64"/>
      <c r="BW85" s="64"/>
      <c r="BX85" s="64"/>
      <c r="BY85" s="64"/>
      <c r="BZ85" s="64"/>
      <c r="CA85" s="64"/>
      <c r="CB85" s="64"/>
      <c r="CC85" s="64"/>
      <c r="CD85" s="64"/>
      <c r="CE85" s="64"/>
      <c r="CF85" s="64"/>
      <c r="CG85" s="64"/>
      <c r="CH85" s="64"/>
    </row>
    <row r="86" spans="1:86" x14ac:dyDescent="0.35">
      <c r="A86" s="64"/>
      <c r="B86" s="64"/>
      <c r="C86" s="64"/>
      <c r="D86" s="64"/>
      <c r="E86" s="64"/>
      <c r="F86" s="64"/>
      <c r="G86" s="64"/>
      <c r="H86" s="64"/>
      <c r="I86" s="64"/>
      <c r="J86" s="64"/>
      <c r="K86" s="64"/>
      <c r="L86" s="64"/>
      <c r="M86" s="64"/>
      <c r="N86" s="64"/>
      <c r="O86" s="64"/>
      <c r="P86" s="64"/>
      <c r="Q86" s="64"/>
      <c r="R86" s="64"/>
      <c r="S86" s="64"/>
      <c r="T86" s="64"/>
      <c r="U86" s="64"/>
      <c r="V86" s="64"/>
      <c r="W86" s="64"/>
      <c r="X86" s="64"/>
      <c r="Y86" s="64"/>
      <c r="Z86" s="64"/>
      <c r="AA86" s="64"/>
      <c r="AB86" s="64"/>
      <c r="AC86" s="64"/>
      <c r="AD86" s="64"/>
      <c r="AE86" s="64"/>
      <c r="AF86" s="64"/>
      <c r="AG86" s="64"/>
      <c r="AH86" s="64"/>
      <c r="AI86" s="64"/>
      <c r="AJ86" s="64"/>
      <c r="AK86" s="64"/>
      <c r="AL86" s="64"/>
      <c r="AM86" s="64"/>
      <c r="AN86" s="64"/>
      <c r="AO86" s="64"/>
      <c r="AP86" s="64"/>
      <c r="AQ86" s="64"/>
      <c r="AR86" s="64"/>
      <c r="AS86" s="64"/>
      <c r="AT86" s="64"/>
      <c r="AU86" s="64"/>
      <c r="AV86" s="64"/>
      <c r="AW86" s="64"/>
      <c r="AX86" s="64"/>
      <c r="AY86" s="64"/>
      <c r="AZ86" s="64"/>
      <c r="BA86" s="64"/>
      <c r="BB86" s="64"/>
      <c r="BC86" s="64"/>
      <c r="BD86" s="64"/>
      <c r="BE86" s="64"/>
      <c r="BF86" s="64"/>
      <c r="BG86" s="64"/>
      <c r="BH86" s="64"/>
      <c r="BI86" s="64"/>
      <c r="BJ86" s="64"/>
      <c r="BK86" s="64"/>
      <c r="BL86" s="64"/>
      <c r="BM86" s="64"/>
      <c r="BN86" s="64"/>
      <c r="BO86" s="64"/>
      <c r="BP86" s="64"/>
      <c r="BQ86" s="64"/>
      <c r="BR86" s="64"/>
      <c r="BS86" s="64"/>
      <c r="BT86" s="64"/>
      <c r="BU86" s="64"/>
      <c r="BV86" s="64"/>
      <c r="BW86" s="64"/>
      <c r="BX86" s="64"/>
      <c r="BY86" s="64"/>
      <c r="BZ86" s="64"/>
      <c r="CA86" s="64"/>
      <c r="CB86" s="64"/>
      <c r="CC86" s="64"/>
      <c r="CD86" s="64"/>
      <c r="CE86" s="64"/>
      <c r="CF86" s="64"/>
      <c r="CG86" s="64"/>
      <c r="CH86" s="64"/>
    </row>
    <row r="87" spans="1:86" x14ac:dyDescent="0.35">
      <c r="A87" s="64"/>
      <c r="B87" s="64"/>
      <c r="C87" s="64"/>
      <c r="D87" s="64"/>
      <c r="E87" s="64"/>
      <c r="F87" s="64"/>
      <c r="G87" s="64"/>
      <c r="H87" s="64"/>
      <c r="I87" s="64"/>
      <c r="J87" s="64"/>
      <c r="K87" s="64"/>
      <c r="L87" s="64"/>
      <c r="M87" s="64"/>
      <c r="N87" s="64"/>
      <c r="O87" s="64"/>
      <c r="P87" s="64"/>
      <c r="Q87" s="64"/>
      <c r="R87" s="64"/>
      <c r="S87" s="64"/>
      <c r="T87" s="64"/>
      <c r="U87" s="64"/>
      <c r="V87" s="64"/>
      <c r="W87" s="64"/>
      <c r="X87" s="64"/>
      <c r="Y87" s="64"/>
      <c r="Z87" s="64"/>
      <c r="AA87" s="64"/>
      <c r="AB87" s="64"/>
      <c r="AC87" s="64"/>
      <c r="AD87" s="64"/>
      <c r="AE87" s="64"/>
      <c r="AF87" s="64"/>
      <c r="AG87" s="64"/>
      <c r="AH87" s="64"/>
      <c r="AI87" s="64"/>
      <c r="AJ87" s="64"/>
      <c r="AK87" s="64"/>
      <c r="AL87" s="64"/>
      <c r="AM87" s="64"/>
      <c r="AN87" s="64"/>
      <c r="AO87" s="64"/>
      <c r="AP87" s="64"/>
      <c r="AQ87" s="64"/>
      <c r="AR87" s="64"/>
      <c r="AS87" s="64"/>
      <c r="AT87" s="64"/>
      <c r="AU87" s="64"/>
      <c r="AV87" s="64"/>
      <c r="AW87" s="64"/>
      <c r="AX87" s="64"/>
      <c r="AY87" s="64"/>
      <c r="AZ87" s="64"/>
      <c r="BA87" s="64"/>
      <c r="BB87" s="64"/>
      <c r="BC87" s="64"/>
      <c r="BD87" s="64"/>
      <c r="BE87" s="64"/>
      <c r="BF87" s="64"/>
      <c r="BG87" s="64"/>
      <c r="BH87" s="64"/>
      <c r="BI87" s="64"/>
      <c r="BJ87" s="64"/>
      <c r="BK87" s="64"/>
      <c r="BL87" s="64"/>
      <c r="BM87" s="64"/>
      <c r="BN87" s="64"/>
      <c r="BO87" s="64"/>
      <c r="BP87" s="64"/>
      <c r="BQ87" s="64"/>
      <c r="BR87" s="64"/>
      <c r="BS87" s="64"/>
      <c r="BT87" s="64"/>
      <c r="BU87" s="64"/>
      <c r="BV87" s="64"/>
      <c r="BW87" s="64"/>
      <c r="BX87" s="64"/>
      <c r="BY87" s="64"/>
      <c r="BZ87" s="64"/>
      <c r="CA87" s="64"/>
      <c r="CB87" s="64"/>
      <c r="CC87" s="64"/>
      <c r="CD87" s="64"/>
      <c r="CE87" s="64"/>
      <c r="CF87" s="64"/>
      <c r="CG87" s="64"/>
      <c r="CH87" s="64"/>
    </row>
    <row r="88" spans="1:86" x14ac:dyDescent="0.35">
      <c r="A88" s="64"/>
      <c r="B88" s="64"/>
      <c r="C88" s="64"/>
      <c r="D88" s="64"/>
      <c r="E88" s="64"/>
      <c r="F88" s="64"/>
      <c r="G88" s="64"/>
      <c r="H88" s="64"/>
      <c r="I88" s="64"/>
      <c r="J88" s="64"/>
      <c r="K88" s="64"/>
      <c r="L88" s="64"/>
      <c r="M88" s="64"/>
      <c r="N88" s="64"/>
      <c r="O88" s="64"/>
      <c r="P88" s="64"/>
      <c r="Q88" s="64"/>
      <c r="R88" s="64"/>
      <c r="S88" s="64"/>
      <c r="T88" s="64"/>
      <c r="U88" s="64"/>
      <c r="V88" s="64"/>
      <c r="W88" s="64"/>
      <c r="X88" s="64"/>
      <c r="Y88" s="64"/>
      <c r="Z88" s="64"/>
      <c r="AA88" s="64"/>
      <c r="AB88" s="64"/>
      <c r="AC88" s="64"/>
      <c r="AD88" s="64"/>
      <c r="AE88" s="64"/>
      <c r="AF88" s="64"/>
      <c r="AG88" s="64"/>
      <c r="AH88" s="64"/>
      <c r="AI88" s="64"/>
      <c r="AJ88" s="64"/>
      <c r="AK88" s="64"/>
      <c r="AL88" s="64"/>
      <c r="AM88" s="64"/>
      <c r="AN88" s="64"/>
      <c r="AO88" s="64"/>
      <c r="AP88" s="64"/>
      <c r="AQ88" s="64"/>
      <c r="AR88" s="64"/>
      <c r="AS88" s="64"/>
      <c r="AT88" s="64"/>
      <c r="AU88" s="64"/>
      <c r="AV88" s="64"/>
      <c r="AW88" s="64"/>
      <c r="AX88" s="64"/>
      <c r="AY88" s="64"/>
      <c r="AZ88" s="64"/>
      <c r="BA88" s="64"/>
      <c r="BB88" s="64"/>
      <c r="BC88" s="64"/>
      <c r="BD88" s="64"/>
      <c r="BE88" s="64"/>
      <c r="BF88" s="64"/>
      <c r="BG88" s="64"/>
      <c r="BH88" s="64"/>
      <c r="BI88" s="64"/>
      <c r="BJ88" s="64"/>
      <c r="BK88" s="64"/>
      <c r="BL88" s="64"/>
      <c r="BM88" s="64"/>
      <c r="BN88" s="64"/>
      <c r="BO88" s="64"/>
      <c r="BP88" s="64"/>
      <c r="BQ88" s="64"/>
      <c r="BR88" s="64"/>
      <c r="BS88" s="64"/>
      <c r="BT88" s="64"/>
      <c r="BU88" s="64"/>
      <c r="BV88" s="64"/>
      <c r="BW88" s="64"/>
      <c r="BX88" s="64"/>
      <c r="BY88" s="64"/>
      <c r="BZ88" s="64"/>
      <c r="CA88" s="64"/>
      <c r="CB88" s="64"/>
      <c r="CC88" s="64"/>
      <c r="CD88" s="64"/>
      <c r="CE88" s="64"/>
      <c r="CF88" s="64"/>
      <c r="CG88" s="64"/>
      <c r="CH88" s="64"/>
    </row>
    <row r="89" spans="1:86" x14ac:dyDescent="0.35">
      <c r="A89" s="64"/>
      <c r="B89" s="64"/>
      <c r="C89" s="64"/>
      <c r="D89" s="64"/>
      <c r="E89" s="64"/>
      <c r="F89" s="64"/>
      <c r="G89" s="64"/>
      <c r="H89" s="64"/>
      <c r="I89" s="64"/>
      <c r="J89" s="64"/>
      <c r="K89" s="64"/>
      <c r="L89" s="64"/>
      <c r="M89" s="64"/>
      <c r="N89" s="64"/>
      <c r="O89" s="64"/>
      <c r="P89" s="64"/>
      <c r="Q89" s="64"/>
      <c r="R89" s="64"/>
      <c r="S89" s="64"/>
      <c r="T89" s="64"/>
      <c r="U89" s="64"/>
      <c r="V89" s="64"/>
      <c r="W89" s="64"/>
      <c r="X89" s="64"/>
      <c r="Y89" s="64"/>
      <c r="Z89" s="64"/>
      <c r="AA89" s="64"/>
      <c r="AB89" s="64"/>
      <c r="AC89" s="64"/>
      <c r="AD89" s="64"/>
      <c r="AE89" s="64"/>
      <c r="AF89" s="64"/>
      <c r="AG89" s="64"/>
      <c r="AH89" s="64"/>
      <c r="AI89" s="64"/>
      <c r="AJ89" s="64"/>
      <c r="AK89" s="64"/>
      <c r="AL89" s="64"/>
      <c r="AM89" s="64"/>
      <c r="AN89" s="64"/>
      <c r="AO89" s="64"/>
      <c r="AP89" s="64"/>
      <c r="AQ89" s="64"/>
      <c r="AR89" s="64"/>
      <c r="AS89" s="64"/>
      <c r="AT89" s="64"/>
      <c r="AU89" s="64"/>
      <c r="AV89" s="64"/>
      <c r="AW89" s="64"/>
      <c r="AX89" s="64"/>
      <c r="AY89" s="64"/>
      <c r="AZ89" s="64"/>
      <c r="BA89" s="64"/>
      <c r="BB89" s="64"/>
      <c r="BC89" s="64"/>
      <c r="BD89" s="64"/>
      <c r="BE89" s="64"/>
      <c r="BF89" s="64"/>
      <c r="BG89" s="64"/>
      <c r="BH89" s="64"/>
      <c r="BI89" s="64"/>
      <c r="BJ89" s="64"/>
      <c r="BK89" s="64"/>
      <c r="BL89" s="64"/>
      <c r="BM89" s="64"/>
      <c r="BN89" s="64"/>
      <c r="BO89" s="64"/>
      <c r="BP89" s="64"/>
      <c r="BQ89" s="64"/>
      <c r="BR89" s="64"/>
      <c r="BS89" s="64"/>
      <c r="BT89" s="64"/>
      <c r="BU89" s="64"/>
      <c r="BV89" s="64"/>
      <c r="BW89" s="64"/>
      <c r="BX89" s="64"/>
      <c r="BY89" s="64"/>
      <c r="BZ89" s="64"/>
      <c r="CA89" s="64"/>
      <c r="CB89" s="64"/>
      <c r="CC89" s="64"/>
      <c r="CD89" s="64"/>
      <c r="CE89" s="64"/>
      <c r="CF89" s="64"/>
      <c r="CG89" s="64"/>
      <c r="CH89" s="64"/>
    </row>
    <row r="90" spans="1:86" x14ac:dyDescent="0.35">
      <c r="A90" s="64"/>
      <c r="B90" s="64"/>
      <c r="C90" s="64"/>
      <c r="D90" s="64"/>
      <c r="E90" s="64"/>
      <c r="F90" s="64"/>
      <c r="G90" s="64"/>
      <c r="H90" s="64"/>
      <c r="I90" s="64"/>
      <c r="J90" s="64"/>
      <c r="K90" s="64"/>
      <c r="L90" s="64"/>
      <c r="M90" s="64"/>
      <c r="N90" s="64"/>
      <c r="O90" s="64"/>
      <c r="P90" s="64"/>
      <c r="Q90" s="64"/>
      <c r="R90" s="64"/>
      <c r="S90" s="64"/>
      <c r="T90" s="64"/>
      <c r="U90" s="64"/>
      <c r="V90" s="64"/>
      <c r="W90" s="64"/>
      <c r="X90" s="64"/>
      <c r="Y90" s="64"/>
      <c r="Z90" s="64"/>
      <c r="AA90" s="64"/>
      <c r="AB90" s="64"/>
      <c r="AC90" s="64"/>
      <c r="AD90" s="64"/>
      <c r="AE90" s="64"/>
      <c r="AF90" s="64"/>
      <c r="AG90" s="64"/>
      <c r="AH90" s="64"/>
      <c r="AI90" s="64"/>
      <c r="AJ90" s="64"/>
      <c r="AK90" s="64"/>
      <c r="AL90" s="64"/>
      <c r="AM90" s="64"/>
      <c r="AN90" s="64"/>
      <c r="AO90" s="64"/>
      <c r="AP90" s="64"/>
      <c r="AQ90" s="64"/>
      <c r="AR90" s="64"/>
      <c r="AS90" s="64"/>
      <c r="AT90" s="64"/>
      <c r="AU90" s="64"/>
      <c r="AV90" s="64"/>
      <c r="AW90" s="64"/>
      <c r="AX90" s="64"/>
      <c r="AY90" s="64"/>
      <c r="AZ90" s="64"/>
      <c r="BA90" s="64"/>
      <c r="BB90" s="64"/>
      <c r="BC90" s="64"/>
      <c r="BD90" s="64"/>
      <c r="BE90" s="64"/>
      <c r="BF90" s="64"/>
      <c r="BG90" s="64"/>
      <c r="BH90" s="64"/>
      <c r="BI90" s="64"/>
      <c r="BJ90" s="64"/>
      <c r="BK90" s="64"/>
      <c r="BL90" s="64"/>
      <c r="BM90" s="64"/>
      <c r="BN90" s="64"/>
      <c r="BO90" s="64"/>
      <c r="BP90" s="64"/>
      <c r="BQ90" s="64"/>
      <c r="BR90" s="64"/>
      <c r="BS90" s="64"/>
      <c r="BT90" s="64"/>
      <c r="BU90" s="64"/>
      <c r="BV90" s="64"/>
      <c r="BW90" s="64"/>
      <c r="BX90" s="64"/>
      <c r="BY90" s="64"/>
      <c r="BZ90" s="64"/>
      <c r="CA90" s="64"/>
      <c r="CB90" s="64"/>
      <c r="CC90" s="64"/>
      <c r="CD90" s="64"/>
      <c r="CE90" s="64"/>
      <c r="CF90" s="64"/>
      <c r="CG90" s="64"/>
      <c r="CH90" s="64"/>
    </row>
    <row r="91" spans="1:86" x14ac:dyDescent="0.35">
      <c r="A91" s="64"/>
      <c r="B91" s="64"/>
      <c r="C91" s="64"/>
      <c r="D91" s="64"/>
      <c r="E91" s="64"/>
      <c r="F91" s="64"/>
      <c r="G91" s="64"/>
      <c r="H91" s="64"/>
      <c r="I91" s="64"/>
      <c r="J91" s="64"/>
      <c r="K91" s="64"/>
      <c r="L91" s="64"/>
      <c r="M91" s="64"/>
      <c r="N91" s="64"/>
      <c r="O91" s="64"/>
      <c r="P91" s="64"/>
      <c r="Q91" s="64"/>
      <c r="R91" s="64"/>
      <c r="S91" s="64"/>
      <c r="T91" s="64"/>
      <c r="U91" s="64"/>
      <c r="V91" s="64"/>
      <c r="W91" s="64"/>
      <c r="X91" s="64"/>
      <c r="Y91" s="64"/>
      <c r="Z91" s="64"/>
      <c r="AA91" s="64"/>
      <c r="AB91" s="64"/>
      <c r="AC91" s="64"/>
      <c r="AD91" s="64"/>
      <c r="AE91" s="64"/>
      <c r="AF91" s="64"/>
      <c r="AG91" s="64"/>
      <c r="AH91" s="64"/>
      <c r="AI91" s="64"/>
      <c r="AJ91" s="64"/>
      <c r="AK91" s="64"/>
      <c r="AL91" s="64"/>
      <c r="AM91" s="64"/>
      <c r="AN91" s="64"/>
      <c r="AO91" s="64"/>
      <c r="AP91" s="64"/>
      <c r="AQ91" s="64"/>
      <c r="AR91" s="64"/>
      <c r="AS91" s="64"/>
      <c r="AT91" s="64"/>
      <c r="AU91" s="64"/>
      <c r="AV91" s="64"/>
      <c r="AW91" s="64"/>
      <c r="AX91" s="64"/>
      <c r="AY91" s="64"/>
      <c r="AZ91" s="64"/>
      <c r="BA91" s="64"/>
      <c r="BB91" s="64"/>
      <c r="BC91" s="64"/>
      <c r="BD91" s="64"/>
      <c r="BE91" s="64"/>
      <c r="BF91" s="64"/>
      <c r="BG91" s="64"/>
      <c r="BH91" s="64"/>
      <c r="BI91" s="64"/>
      <c r="BJ91" s="64"/>
      <c r="BK91" s="64"/>
      <c r="BL91" s="64"/>
      <c r="BM91" s="64"/>
      <c r="BN91" s="64"/>
      <c r="BO91" s="64"/>
      <c r="BP91" s="64"/>
      <c r="BQ91" s="64"/>
      <c r="BR91" s="64"/>
      <c r="BS91" s="64"/>
      <c r="BT91" s="64"/>
      <c r="BU91" s="64"/>
      <c r="BV91" s="64"/>
      <c r="BW91" s="64"/>
      <c r="BX91" s="64"/>
      <c r="BY91" s="64"/>
      <c r="BZ91" s="64"/>
      <c r="CA91" s="64"/>
      <c r="CB91" s="64"/>
      <c r="CC91" s="64"/>
      <c r="CD91" s="64"/>
      <c r="CE91" s="64"/>
      <c r="CF91" s="64"/>
      <c r="CG91" s="64"/>
      <c r="CH91" s="64"/>
    </row>
    <row r="92" spans="1:86" x14ac:dyDescent="0.35">
      <c r="A92" s="64"/>
      <c r="B92" s="64"/>
      <c r="C92" s="64"/>
      <c r="D92" s="64"/>
      <c r="E92" s="64"/>
      <c r="F92" s="64"/>
      <c r="G92" s="64"/>
      <c r="H92" s="64"/>
      <c r="I92" s="64"/>
      <c r="J92" s="64"/>
      <c r="K92" s="64"/>
      <c r="L92" s="64"/>
      <c r="M92" s="64"/>
      <c r="N92" s="64"/>
      <c r="O92" s="64"/>
      <c r="P92" s="64"/>
      <c r="Q92" s="64"/>
      <c r="R92" s="64"/>
      <c r="S92" s="64"/>
      <c r="T92" s="64"/>
      <c r="U92" s="64"/>
      <c r="V92" s="64"/>
      <c r="W92" s="64"/>
      <c r="X92" s="64"/>
      <c r="Y92" s="64"/>
      <c r="Z92" s="64"/>
      <c r="AA92" s="64"/>
      <c r="AB92" s="64"/>
      <c r="AC92" s="64"/>
      <c r="AD92" s="64"/>
      <c r="AE92" s="64"/>
      <c r="AF92" s="64"/>
      <c r="AG92" s="64"/>
      <c r="AH92" s="64"/>
      <c r="AI92" s="64"/>
      <c r="AJ92" s="64"/>
      <c r="AK92" s="64"/>
      <c r="AL92" s="64"/>
      <c r="AM92" s="64"/>
      <c r="AN92" s="64"/>
      <c r="AO92" s="64"/>
      <c r="AP92" s="64"/>
      <c r="AQ92" s="64"/>
      <c r="AR92" s="64"/>
      <c r="AS92" s="64"/>
      <c r="AT92" s="64"/>
      <c r="AU92" s="64"/>
      <c r="AV92" s="64"/>
      <c r="AW92" s="64"/>
      <c r="AX92" s="64"/>
      <c r="AY92" s="64"/>
      <c r="AZ92" s="64"/>
      <c r="BA92" s="64"/>
      <c r="BB92" s="64"/>
      <c r="BC92" s="64"/>
      <c r="BD92" s="64"/>
      <c r="BE92" s="64"/>
      <c r="BF92" s="64"/>
      <c r="BG92" s="64"/>
      <c r="BH92" s="64"/>
      <c r="BI92" s="64"/>
      <c r="BJ92" s="64"/>
      <c r="BK92" s="64"/>
      <c r="BL92" s="64"/>
      <c r="BM92" s="64"/>
      <c r="BN92" s="64"/>
      <c r="BO92" s="64"/>
      <c r="BP92" s="64"/>
      <c r="BQ92" s="64"/>
      <c r="BR92" s="64"/>
      <c r="BS92" s="64"/>
      <c r="BT92" s="64"/>
      <c r="BU92" s="64"/>
      <c r="BV92" s="64"/>
      <c r="BW92" s="64"/>
      <c r="BX92" s="64"/>
      <c r="BY92" s="64"/>
      <c r="BZ92" s="64"/>
      <c r="CA92" s="64"/>
      <c r="CB92" s="64"/>
      <c r="CC92" s="64"/>
      <c r="CD92" s="64"/>
      <c r="CE92" s="64"/>
      <c r="CF92" s="64"/>
      <c r="CG92" s="64"/>
      <c r="CH92" s="64"/>
    </row>
    <row r="93" spans="1:86" x14ac:dyDescent="0.35">
      <c r="A93" s="64"/>
      <c r="B93" s="64"/>
      <c r="C93" s="64"/>
      <c r="D93" s="64"/>
      <c r="E93" s="64"/>
      <c r="F93" s="64"/>
      <c r="G93" s="64"/>
      <c r="H93" s="64"/>
      <c r="I93" s="64"/>
      <c r="J93" s="64"/>
      <c r="K93" s="64"/>
      <c r="L93" s="64"/>
      <c r="M93" s="64"/>
      <c r="N93" s="64"/>
      <c r="O93" s="64"/>
      <c r="P93" s="64"/>
      <c r="Q93" s="64"/>
      <c r="R93" s="64"/>
      <c r="S93" s="64"/>
      <c r="T93" s="64"/>
      <c r="U93" s="64"/>
      <c r="V93" s="64"/>
      <c r="W93" s="64"/>
      <c r="X93" s="64"/>
      <c r="Y93" s="64"/>
      <c r="Z93" s="64"/>
      <c r="AA93" s="64"/>
      <c r="AB93" s="64"/>
      <c r="AC93" s="64"/>
      <c r="AD93" s="64"/>
      <c r="AE93" s="64"/>
      <c r="AF93" s="64"/>
      <c r="AG93" s="64"/>
      <c r="AH93" s="64"/>
      <c r="AI93" s="64"/>
      <c r="AJ93" s="64"/>
      <c r="AK93" s="64"/>
      <c r="AL93" s="64"/>
      <c r="AM93" s="64"/>
      <c r="AN93" s="64"/>
      <c r="AO93" s="64"/>
      <c r="AP93" s="64"/>
      <c r="AQ93" s="64"/>
      <c r="AR93" s="64"/>
      <c r="AS93" s="64"/>
      <c r="AT93" s="64"/>
      <c r="AU93" s="64"/>
      <c r="AV93" s="64"/>
      <c r="AW93" s="64"/>
      <c r="AX93" s="64"/>
      <c r="AY93" s="64"/>
      <c r="AZ93" s="64"/>
      <c r="BA93" s="64"/>
      <c r="BB93" s="64"/>
      <c r="BC93" s="64"/>
      <c r="BD93" s="64"/>
      <c r="BE93" s="64"/>
      <c r="BF93" s="64"/>
      <c r="BG93" s="64"/>
      <c r="BH93" s="64"/>
      <c r="BI93" s="64"/>
      <c r="BJ93" s="64"/>
      <c r="BK93" s="64"/>
      <c r="BL93" s="64"/>
      <c r="BM93" s="64"/>
      <c r="BN93" s="64"/>
      <c r="BO93" s="64"/>
      <c r="BP93" s="64"/>
      <c r="BQ93" s="64"/>
      <c r="BR93" s="64"/>
      <c r="BS93" s="64"/>
      <c r="BT93" s="64"/>
      <c r="BU93" s="64"/>
      <c r="BV93" s="64"/>
      <c r="BW93" s="64"/>
      <c r="BX93" s="64"/>
      <c r="BY93" s="64"/>
      <c r="BZ93" s="64"/>
      <c r="CA93" s="64"/>
      <c r="CB93" s="64"/>
      <c r="CC93" s="64"/>
      <c r="CD93" s="64"/>
      <c r="CE93" s="64"/>
      <c r="CF93" s="64"/>
      <c r="CG93" s="64"/>
      <c r="CH93" s="64"/>
    </row>
    <row r="94" spans="1:86" x14ac:dyDescent="0.35">
      <c r="A94" s="64"/>
      <c r="B94" s="64"/>
      <c r="C94" s="64"/>
      <c r="D94" s="64"/>
      <c r="E94" s="64"/>
      <c r="F94" s="64"/>
      <c r="G94" s="64"/>
      <c r="H94" s="64"/>
      <c r="I94" s="64"/>
      <c r="J94" s="64"/>
      <c r="K94" s="64"/>
      <c r="L94" s="64"/>
      <c r="M94" s="64"/>
      <c r="N94" s="64"/>
      <c r="O94" s="64"/>
      <c r="P94" s="64"/>
      <c r="Q94" s="64"/>
      <c r="R94" s="64"/>
      <c r="S94" s="64"/>
      <c r="T94" s="64"/>
      <c r="U94" s="64"/>
      <c r="V94" s="64"/>
      <c r="W94" s="64"/>
      <c r="X94" s="64"/>
      <c r="Y94" s="64"/>
      <c r="Z94" s="64"/>
      <c r="AA94" s="64"/>
      <c r="AB94" s="64"/>
      <c r="AC94" s="64"/>
      <c r="AD94" s="64"/>
      <c r="AE94" s="64"/>
      <c r="AF94" s="64"/>
      <c r="AG94" s="64"/>
      <c r="AH94" s="64"/>
      <c r="AI94" s="64"/>
      <c r="AJ94" s="64"/>
      <c r="AK94" s="64"/>
      <c r="AL94" s="64"/>
      <c r="AM94" s="64"/>
      <c r="AN94" s="64"/>
      <c r="AO94" s="64"/>
      <c r="AP94" s="64"/>
      <c r="AQ94" s="64"/>
      <c r="AR94" s="64"/>
      <c r="AS94" s="64"/>
      <c r="AT94" s="64"/>
      <c r="AU94" s="64"/>
      <c r="AV94" s="64"/>
      <c r="AW94" s="64"/>
      <c r="AX94" s="64"/>
      <c r="AY94" s="64"/>
      <c r="AZ94" s="64"/>
      <c r="BA94" s="64"/>
      <c r="BB94" s="64"/>
      <c r="BC94" s="64"/>
      <c r="BD94" s="64"/>
      <c r="BE94" s="64"/>
      <c r="BF94" s="64"/>
      <c r="BG94" s="64"/>
      <c r="BH94" s="64"/>
      <c r="BI94" s="64"/>
      <c r="BJ94" s="64"/>
      <c r="BK94" s="64"/>
      <c r="BL94" s="64"/>
      <c r="BM94" s="64"/>
      <c r="BN94" s="64"/>
      <c r="BO94" s="64"/>
      <c r="BP94" s="64"/>
      <c r="BQ94" s="64"/>
      <c r="BR94" s="64"/>
      <c r="BS94" s="64"/>
      <c r="BT94" s="64"/>
      <c r="BU94" s="64"/>
      <c r="BV94" s="64"/>
      <c r="BW94" s="64"/>
      <c r="BX94" s="64"/>
      <c r="BY94" s="64"/>
      <c r="BZ94" s="64"/>
      <c r="CA94" s="64"/>
      <c r="CB94" s="64"/>
      <c r="CC94" s="64"/>
      <c r="CD94" s="64"/>
      <c r="CE94" s="64"/>
      <c r="CF94" s="64"/>
      <c r="CG94" s="64"/>
      <c r="CH94" s="64"/>
    </row>
    <row r="95" spans="1:86" x14ac:dyDescent="0.35">
      <c r="A95" s="64"/>
      <c r="B95" s="64"/>
      <c r="C95" s="64"/>
      <c r="D95" s="64"/>
      <c r="E95" s="64"/>
      <c r="F95" s="64"/>
      <c r="G95" s="64"/>
      <c r="H95" s="64"/>
      <c r="I95" s="64"/>
      <c r="J95" s="64"/>
      <c r="K95" s="64"/>
      <c r="L95" s="64"/>
      <c r="M95" s="64"/>
      <c r="N95" s="64"/>
      <c r="O95" s="64"/>
      <c r="P95" s="64"/>
      <c r="Q95" s="64"/>
      <c r="R95" s="64"/>
      <c r="S95" s="64"/>
      <c r="T95" s="64"/>
      <c r="U95" s="64"/>
      <c r="V95" s="64"/>
      <c r="W95" s="64"/>
      <c r="X95" s="64"/>
      <c r="Y95" s="64"/>
      <c r="Z95" s="64"/>
      <c r="AA95" s="64"/>
      <c r="AB95" s="64"/>
      <c r="AC95" s="64"/>
      <c r="AD95" s="64"/>
      <c r="AE95" s="64"/>
      <c r="AF95" s="64"/>
      <c r="AG95" s="64"/>
      <c r="AH95" s="64"/>
      <c r="AI95" s="64"/>
      <c r="AJ95" s="64"/>
      <c r="AK95" s="64"/>
      <c r="AL95" s="64"/>
      <c r="AM95" s="64"/>
      <c r="AN95" s="64"/>
      <c r="AO95" s="64"/>
      <c r="AP95" s="64"/>
      <c r="AQ95" s="64"/>
      <c r="AR95" s="64"/>
      <c r="AS95" s="64"/>
      <c r="AT95" s="64"/>
      <c r="AU95" s="64"/>
      <c r="AV95" s="64"/>
      <c r="AW95" s="64"/>
      <c r="AX95" s="64"/>
      <c r="AY95" s="64"/>
      <c r="AZ95" s="64"/>
      <c r="BA95" s="64"/>
      <c r="BB95" s="64"/>
      <c r="BC95" s="64"/>
      <c r="BD95" s="64"/>
      <c r="BE95" s="64"/>
      <c r="BF95" s="64"/>
      <c r="BG95" s="64"/>
      <c r="BH95" s="64"/>
      <c r="BI95" s="64"/>
      <c r="BJ95" s="64"/>
      <c r="BK95" s="64"/>
      <c r="BL95" s="64"/>
      <c r="BM95" s="64"/>
      <c r="BN95" s="64"/>
      <c r="BO95" s="64"/>
      <c r="BP95" s="64"/>
      <c r="BQ95" s="64"/>
      <c r="BR95" s="64"/>
      <c r="BS95" s="64"/>
      <c r="BT95" s="64"/>
      <c r="BU95" s="64"/>
      <c r="BV95" s="64"/>
      <c r="BW95" s="64"/>
      <c r="BX95" s="64"/>
      <c r="BY95" s="64"/>
      <c r="BZ95" s="64"/>
      <c r="CA95" s="64"/>
      <c r="CB95" s="64"/>
      <c r="CC95" s="64"/>
      <c r="CD95" s="64"/>
      <c r="CE95" s="64"/>
      <c r="CF95" s="64"/>
      <c r="CG95" s="64"/>
      <c r="CH95" s="64"/>
    </row>
    <row r="96" spans="1:86" x14ac:dyDescent="0.35">
      <c r="A96" s="64"/>
      <c r="B96" s="64"/>
      <c r="C96" s="64"/>
      <c r="D96" s="64"/>
      <c r="E96" s="64"/>
      <c r="F96" s="64"/>
      <c r="G96" s="64"/>
      <c r="H96" s="64"/>
      <c r="I96" s="64"/>
      <c r="J96" s="64"/>
      <c r="K96" s="64"/>
      <c r="L96" s="64"/>
      <c r="M96" s="64"/>
      <c r="N96" s="64"/>
      <c r="O96" s="64"/>
      <c r="P96" s="64"/>
      <c r="Q96" s="64"/>
      <c r="R96" s="64"/>
      <c r="S96" s="64"/>
      <c r="T96" s="64"/>
      <c r="U96" s="64"/>
      <c r="V96" s="64"/>
      <c r="W96" s="64"/>
      <c r="X96" s="64"/>
      <c r="Y96" s="64"/>
      <c r="Z96" s="64"/>
      <c r="AA96" s="64"/>
      <c r="AB96" s="64"/>
      <c r="AC96" s="64"/>
      <c r="AD96" s="64"/>
      <c r="AE96" s="64"/>
      <c r="AF96" s="64"/>
      <c r="AG96" s="64"/>
      <c r="AH96" s="64"/>
      <c r="AI96" s="64"/>
      <c r="AJ96" s="64"/>
      <c r="AK96" s="64"/>
      <c r="AL96" s="64"/>
      <c r="AM96" s="64"/>
      <c r="AN96" s="64"/>
      <c r="AO96" s="64"/>
      <c r="AP96" s="64"/>
      <c r="AQ96" s="64"/>
      <c r="AR96" s="64"/>
      <c r="AS96" s="64"/>
      <c r="AT96" s="64"/>
      <c r="AU96" s="64"/>
      <c r="AV96" s="64"/>
      <c r="AW96" s="64"/>
      <c r="AX96" s="64"/>
      <c r="AY96" s="64"/>
      <c r="AZ96" s="64"/>
      <c r="BA96" s="64"/>
      <c r="BB96" s="64"/>
      <c r="BC96" s="64"/>
      <c r="BD96" s="64"/>
      <c r="BE96" s="64"/>
      <c r="BF96" s="64"/>
      <c r="BG96" s="64"/>
      <c r="BH96" s="64"/>
      <c r="BI96" s="64"/>
      <c r="BJ96" s="64"/>
      <c r="BK96" s="64"/>
      <c r="BL96" s="64"/>
      <c r="BM96" s="64"/>
      <c r="BN96" s="64"/>
      <c r="BO96" s="64"/>
      <c r="BP96" s="64"/>
      <c r="BQ96" s="64"/>
      <c r="BR96" s="64"/>
      <c r="BS96" s="64"/>
      <c r="BT96" s="64"/>
      <c r="BU96" s="64"/>
      <c r="BV96" s="64"/>
      <c r="BW96" s="64"/>
      <c r="BX96" s="64"/>
      <c r="BY96" s="64"/>
      <c r="BZ96" s="64"/>
      <c r="CA96" s="64"/>
      <c r="CB96" s="64"/>
      <c r="CC96" s="64"/>
      <c r="CD96" s="64"/>
      <c r="CE96" s="64"/>
      <c r="CF96" s="64"/>
      <c r="CG96" s="64"/>
      <c r="CH96" s="64"/>
    </row>
    <row r="97" spans="1:86" x14ac:dyDescent="0.35">
      <c r="A97" s="64"/>
      <c r="B97" s="64"/>
      <c r="C97" s="64"/>
      <c r="D97" s="64"/>
      <c r="E97" s="64"/>
      <c r="F97" s="64"/>
      <c r="G97" s="64"/>
      <c r="H97" s="64"/>
      <c r="I97" s="64"/>
      <c r="J97" s="64"/>
      <c r="K97" s="64"/>
      <c r="L97" s="64"/>
      <c r="M97" s="64"/>
      <c r="N97" s="64"/>
      <c r="O97" s="64"/>
      <c r="P97" s="64"/>
      <c r="Q97" s="64"/>
      <c r="R97" s="64"/>
      <c r="S97" s="64"/>
      <c r="T97" s="64"/>
      <c r="U97" s="64"/>
      <c r="V97" s="64"/>
      <c r="W97" s="64"/>
      <c r="X97" s="64"/>
      <c r="Y97" s="64"/>
      <c r="Z97" s="64"/>
      <c r="AA97" s="64"/>
      <c r="AB97" s="64"/>
      <c r="AC97" s="64"/>
      <c r="AD97" s="64"/>
      <c r="AE97" s="64"/>
      <c r="AF97" s="64"/>
      <c r="AG97" s="64"/>
      <c r="AH97" s="64"/>
      <c r="AI97" s="64"/>
      <c r="AJ97" s="64"/>
      <c r="AK97" s="64"/>
      <c r="AL97" s="64"/>
      <c r="AM97" s="64"/>
      <c r="AN97" s="64"/>
      <c r="AO97" s="64"/>
      <c r="AP97" s="64"/>
      <c r="AQ97" s="64"/>
      <c r="AR97" s="64"/>
      <c r="AS97" s="64"/>
      <c r="AT97" s="64"/>
      <c r="AU97" s="64"/>
      <c r="AV97" s="64"/>
      <c r="AW97" s="64"/>
      <c r="AX97" s="64"/>
      <c r="AY97" s="64"/>
      <c r="AZ97" s="64"/>
      <c r="BA97" s="64"/>
      <c r="BB97" s="64"/>
      <c r="BC97" s="64"/>
      <c r="BD97" s="64"/>
      <c r="BE97" s="64"/>
      <c r="BF97" s="64"/>
      <c r="BG97" s="64"/>
      <c r="BH97" s="64"/>
      <c r="BI97" s="64"/>
      <c r="BJ97" s="64"/>
      <c r="BK97" s="64"/>
      <c r="BL97" s="64"/>
      <c r="BM97" s="64"/>
      <c r="BN97" s="64"/>
      <c r="BO97" s="64"/>
      <c r="BP97" s="64"/>
      <c r="BQ97" s="64"/>
      <c r="BR97" s="64"/>
      <c r="BS97" s="64"/>
      <c r="BT97" s="64"/>
      <c r="BU97" s="64"/>
      <c r="BV97" s="64"/>
      <c r="BW97" s="64"/>
      <c r="BX97" s="64"/>
      <c r="BY97" s="64"/>
      <c r="BZ97" s="64"/>
      <c r="CA97" s="64"/>
      <c r="CB97" s="64"/>
      <c r="CC97" s="64"/>
      <c r="CD97" s="64"/>
      <c r="CE97" s="64"/>
      <c r="CF97" s="64"/>
      <c r="CG97" s="64"/>
      <c r="CH97" s="64"/>
    </row>
    <row r="98" spans="1:86" x14ac:dyDescent="0.35">
      <c r="A98" s="64"/>
      <c r="B98" s="64"/>
      <c r="C98" s="64"/>
      <c r="D98" s="64"/>
      <c r="E98" s="64"/>
      <c r="F98" s="64"/>
      <c r="G98" s="64"/>
      <c r="H98" s="64"/>
      <c r="I98" s="64"/>
      <c r="J98" s="64"/>
      <c r="K98" s="64"/>
      <c r="L98" s="64"/>
      <c r="M98" s="64"/>
      <c r="N98" s="64"/>
      <c r="O98" s="64"/>
      <c r="P98" s="64"/>
      <c r="Q98" s="64"/>
      <c r="R98" s="64"/>
      <c r="S98" s="64"/>
      <c r="T98" s="64"/>
      <c r="U98" s="64"/>
      <c r="V98" s="64"/>
      <c r="W98" s="64"/>
      <c r="X98" s="64"/>
      <c r="Y98" s="64"/>
      <c r="Z98" s="64"/>
      <c r="AA98" s="64"/>
      <c r="AB98" s="64"/>
      <c r="AC98" s="64"/>
      <c r="AD98" s="64"/>
      <c r="AE98" s="64"/>
      <c r="AF98" s="64"/>
      <c r="AG98" s="64"/>
      <c r="AH98" s="64"/>
      <c r="AI98" s="64"/>
      <c r="AJ98" s="64"/>
      <c r="AK98" s="64"/>
      <c r="AL98" s="64"/>
      <c r="AM98" s="64"/>
      <c r="AN98" s="64"/>
      <c r="AO98" s="64"/>
      <c r="AP98" s="64"/>
      <c r="AQ98" s="64"/>
      <c r="AR98" s="64"/>
      <c r="AS98" s="64"/>
      <c r="AT98" s="64"/>
      <c r="AU98" s="64"/>
      <c r="AV98" s="64"/>
      <c r="AW98" s="64"/>
      <c r="AX98" s="64"/>
      <c r="AY98" s="64"/>
      <c r="AZ98" s="64"/>
      <c r="BA98" s="64"/>
      <c r="BB98" s="64"/>
      <c r="BC98" s="64"/>
      <c r="BD98" s="64"/>
      <c r="BE98" s="64"/>
      <c r="BF98" s="64"/>
      <c r="BG98" s="64"/>
      <c r="BH98" s="64"/>
      <c r="BI98" s="64"/>
      <c r="BJ98" s="64"/>
      <c r="BK98" s="64"/>
      <c r="BL98" s="64"/>
      <c r="BM98" s="64"/>
      <c r="BN98" s="64"/>
      <c r="BO98" s="64"/>
      <c r="BP98" s="64"/>
      <c r="BQ98" s="64"/>
      <c r="BR98" s="64"/>
      <c r="BS98" s="64"/>
      <c r="BT98" s="64"/>
      <c r="BU98" s="64"/>
      <c r="BV98" s="64"/>
      <c r="BW98" s="64"/>
      <c r="BX98" s="64"/>
      <c r="BY98" s="64"/>
      <c r="BZ98" s="64"/>
      <c r="CA98" s="64"/>
      <c r="CB98" s="64"/>
      <c r="CC98" s="64"/>
      <c r="CD98" s="64"/>
      <c r="CE98" s="64"/>
      <c r="CF98" s="64"/>
      <c r="CG98" s="64"/>
      <c r="CH98" s="64"/>
    </row>
    <row r="99" spans="1:86" x14ac:dyDescent="0.35">
      <c r="A99" s="64"/>
      <c r="B99" s="64"/>
      <c r="C99" s="64"/>
      <c r="D99" s="64"/>
      <c r="E99" s="64"/>
      <c r="F99" s="64"/>
      <c r="G99" s="64"/>
      <c r="H99" s="64"/>
      <c r="I99" s="64"/>
      <c r="J99" s="64"/>
      <c r="K99" s="64"/>
      <c r="L99" s="64"/>
      <c r="M99" s="64"/>
      <c r="N99" s="64"/>
      <c r="O99" s="64"/>
      <c r="P99" s="64"/>
      <c r="Q99" s="64"/>
      <c r="R99" s="64"/>
      <c r="S99" s="64"/>
      <c r="T99" s="64"/>
      <c r="U99" s="64"/>
      <c r="V99" s="64"/>
      <c r="W99" s="64"/>
      <c r="X99" s="64"/>
      <c r="Y99" s="64"/>
      <c r="Z99" s="64"/>
      <c r="AA99" s="64"/>
      <c r="AB99" s="64"/>
      <c r="AC99" s="64"/>
      <c r="AD99" s="64"/>
      <c r="AE99" s="64"/>
      <c r="AF99" s="64"/>
      <c r="AG99" s="64"/>
      <c r="AH99" s="64"/>
      <c r="AI99" s="64"/>
      <c r="AJ99" s="64"/>
      <c r="AK99" s="64"/>
      <c r="AL99" s="64"/>
      <c r="AM99" s="64"/>
      <c r="AN99" s="64"/>
      <c r="AO99" s="64"/>
      <c r="AP99" s="64"/>
      <c r="AQ99" s="64"/>
      <c r="AR99" s="64"/>
      <c r="AS99" s="64"/>
      <c r="AT99" s="64"/>
      <c r="AU99" s="64"/>
      <c r="AV99" s="64"/>
      <c r="AW99" s="64"/>
      <c r="AX99" s="64"/>
      <c r="AY99" s="64"/>
      <c r="AZ99" s="64"/>
      <c r="BA99" s="64"/>
      <c r="BB99" s="64"/>
      <c r="BC99" s="64"/>
      <c r="BD99" s="64"/>
      <c r="BE99" s="64"/>
      <c r="BF99" s="64"/>
      <c r="BG99" s="64"/>
      <c r="BH99" s="64"/>
      <c r="BI99" s="64"/>
      <c r="BJ99" s="64"/>
      <c r="BK99" s="64"/>
      <c r="BL99" s="64"/>
      <c r="BM99" s="64"/>
      <c r="BN99" s="64"/>
      <c r="BO99" s="64"/>
      <c r="BP99" s="64"/>
      <c r="BQ99" s="64"/>
      <c r="BR99" s="64"/>
      <c r="BS99" s="64"/>
      <c r="BT99" s="64"/>
      <c r="BU99" s="64"/>
      <c r="BV99" s="64"/>
      <c r="BW99" s="64"/>
      <c r="BX99" s="64"/>
      <c r="BY99" s="64"/>
      <c r="BZ99" s="64"/>
      <c r="CA99" s="64"/>
      <c r="CB99" s="64"/>
      <c r="CC99" s="64"/>
      <c r="CD99" s="64"/>
      <c r="CE99" s="64"/>
      <c r="CF99" s="64"/>
      <c r="CG99" s="64"/>
      <c r="CH99" s="64"/>
    </row>
    <row r="100" spans="1:86" x14ac:dyDescent="0.35">
      <c r="A100" s="64"/>
      <c r="B100" s="64"/>
      <c r="C100" s="64"/>
      <c r="D100" s="64"/>
      <c r="E100" s="64"/>
      <c r="F100" s="64"/>
      <c r="G100" s="64"/>
      <c r="H100" s="64"/>
      <c r="I100" s="64"/>
      <c r="J100" s="64"/>
      <c r="K100" s="64"/>
      <c r="L100" s="64"/>
      <c r="M100" s="64"/>
      <c r="N100" s="64"/>
      <c r="O100" s="64"/>
      <c r="P100" s="64"/>
      <c r="Q100" s="64"/>
      <c r="R100" s="64"/>
      <c r="S100" s="64"/>
      <c r="T100" s="64"/>
      <c r="U100" s="64"/>
      <c r="V100" s="64"/>
      <c r="W100" s="64"/>
      <c r="X100" s="64"/>
      <c r="Y100" s="64"/>
      <c r="Z100" s="64"/>
      <c r="AA100" s="64"/>
      <c r="AB100" s="64"/>
      <c r="AC100" s="64"/>
      <c r="AD100" s="64"/>
      <c r="AE100" s="64"/>
      <c r="AF100" s="64"/>
      <c r="AG100" s="64"/>
      <c r="AH100" s="64"/>
      <c r="AI100" s="64"/>
      <c r="AJ100" s="64"/>
      <c r="AK100" s="64"/>
      <c r="AL100" s="64"/>
      <c r="AM100" s="64"/>
      <c r="AN100" s="64"/>
      <c r="AO100" s="64"/>
      <c r="AP100" s="64"/>
      <c r="AQ100" s="64"/>
      <c r="AR100" s="64"/>
      <c r="AS100" s="64"/>
      <c r="AT100" s="64"/>
      <c r="AU100" s="64"/>
      <c r="AV100" s="64"/>
      <c r="AW100" s="64"/>
      <c r="AX100" s="64"/>
      <c r="AY100" s="64"/>
      <c r="AZ100" s="64"/>
      <c r="BA100" s="64"/>
      <c r="BB100" s="64"/>
      <c r="BC100" s="64"/>
      <c r="BD100" s="64"/>
      <c r="BE100" s="64"/>
      <c r="BF100" s="64"/>
      <c r="BG100" s="64"/>
      <c r="BH100" s="64"/>
      <c r="BI100" s="64"/>
      <c r="BJ100" s="64"/>
      <c r="BK100" s="64"/>
      <c r="BL100" s="64"/>
      <c r="BM100" s="64"/>
      <c r="BN100" s="64"/>
      <c r="BO100" s="64"/>
      <c r="BP100" s="64"/>
      <c r="BQ100" s="64"/>
      <c r="BR100" s="64"/>
      <c r="BS100" s="64"/>
      <c r="BT100" s="64"/>
      <c r="BU100" s="64"/>
      <c r="BV100" s="64"/>
      <c r="BW100" s="64"/>
      <c r="BX100" s="64"/>
      <c r="BY100" s="64"/>
      <c r="BZ100" s="64"/>
      <c r="CA100" s="64"/>
      <c r="CB100" s="64"/>
      <c r="CC100" s="64"/>
      <c r="CD100" s="64"/>
      <c r="CE100" s="64"/>
      <c r="CF100" s="64"/>
      <c r="CG100" s="64"/>
      <c r="CH100" s="64"/>
    </row>
    <row r="101" spans="1:86" x14ac:dyDescent="0.35">
      <c r="A101" s="64"/>
      <c r="B101" s="64"/>
      <c r="C101" s="64"/>
      <c r="D101" s="64"/>
      <c r="E101" s="64"/>
      <c r="F101" s="64"/>
      <c r="G101" s="64"/>
      <c r="H101" s="64"/>
      <c r="I101" s="64"/>
      <c r="J101" s="64"/>
      <c r="K101" s="64"/>
      <c r="L101" s="64"/>
      <c r="M101" s="64"/>
      <c r="N101" s="64"/>
      <c r="O101" s="64"/>
      <c r="P101" s="64"/>
      <c r="Q101" s="64"/>
      <c r="R101" s="64"/>
      <c r="S101" s="64"/>
      <c r="T101" s="64"/>
      <c r="U101" s="64"/>
      <c r="V101" s="64"/>
      <c r="W101" s="64"/>
      <c r="X101" s="64"/>
      <c r="Y101" s="64"/>
      <c r="Z101" s="64"/>
      <c r="AA101" s="64"/>
      <c r="AB101" s="64"/>
      <c r="AC101" s="64"/>
      <c r="AD101" s="64"/>
      <c r="AE101" s="64"/>
      <c r="AF101" s="64"/>
      <c r="AG101" s="64"/>
      <c r="AH101" s="64"/>
      <c r="AI101" s="64"/>
      <c r="AJ101" s="64"/>
      <c r="AK101" s="64"/>
      <c r="AL101" s="64"/>
      <c r="AM101" s="64"/>
      <c r="AN101" s="64"/>
      <c r="AO101" s="64"/>
      <c r="AP101" s="64"/>
      <c r="AQ101" s="64"/>
      <c r="AR101" s="64"/>
      <c r="AS101" s="64"/>
      <c r="AT101" s="64"/>
      <c r="AU101" s="64"/>
      <c r="AV101" s="64"/>
      <c r="AW101" s="64"/>
      <c r="AX101" s="64"/>
      <c r="AY101" s="64"/>
      <c r="AZ101" s="64"/>
      <c r="BA101" s="64"/>
      <c r="BB101" s="64"/>
      <c r="BC101" s="64"/>
      <c r="BD101" s="64"/>
      <c r="BE101" s="64"/>
      <c r="BF101" s="64"/>
      <c r="BG101" s="64"/>
      <c r="BH101" s="64"/>
      <c r="BI101" s="64"/>
      <c r="BJ101" s="64"/>
      <c r="BK101" s="64"/>
      <c r="BL101" s="64"/>
      <c r="BM101" s="64"/>
      <c r="BN101" s="64"/>
      <c r="BO101" s="64"/>
      <c r="BP101" s="64"/>
      <c r="BQ101" s="64"/>
      <c r="BR101" s="64"/>
      <c r="BS101" s="64"/>
      <c r="BT101" s="64"/>
      <c r="BU101" s="64"/>
      <c r="BV101" s="64"/>
      <c r="BW101" s="64"/>
      <c r="BX101" s="64"/>
      <c r="BY101" s="64"/>
      <c r="BZ101" s="64"/>
      <c r="CA101" s="64"/>
      <c r="CB101" s="64"/>
      <c r="CC101" s="64"/>
      <c r="CD101" s="64"/>
      <c r="CE101" s="64"/>
      <c r="CF101" s="64"/>
      <c r="CG101" s="64"/>
      <c r="CH101" s="64"/>
    </row>
    <row r="102" spans="1:86" x14ac:dyDescent="0.35">
      <c r="A102" s="64"/>
      <c r="B102" s="64"/>
      <c r="C102" s="64"/>
      <c r="D102" s="64"/>
      <c r="E102" s="64"/>
      <c r="F102" s="64"/>
      <c r="G102" s="64"/>
      <c r="H102" s="64"/>
      <c r="I102" s="64"/>
      <c r="J102" s="64"/>
      <c r="K102" s="64"/>
      <c r="L102" s="64"/>
      <c r="M102" s="64"/>
      <c r="N102" s="64"/>
      <c r="O102" s="64"/>
      <c r="P102" s="64"/>
      <c r="Q102" s="64"/>
      <c r="R102" s="64"/>
      <c r="S102" s="64"/>
      <c r="T102" s="64"/>
      <c r="U102" s="64"/>
      <c r="V102" s="64"/>
      <c r="W102" s="64"/>
      <c r="X102" s="64"/>
      <c r="Y102" s="64"/>
      <c r="Z102" s="64"/>
      <c r="AA102" s="64"/>
      <c r="AB102" s="64"/>
      <c r="AC102" s="64"/>
      <c r="AD102" s="64"/>
      <c r="AE102" s="64"/>
      <c r="AF102" s="64"/>
      <c r="AG102" s="64"/>
      <c r="AH102" s="64"/>
      <c r="AI102" s="64"/>
      <c r="AJ102" s="64"/>
      <c r="AK102" s="64"/>
      <c r="AL102" s="64"/>
      <c r="AM102" s="64"/>
      <c r="AN102" s="64"/>
      <c r="AO102" s="64"/>
      <c r="AP102" s="64"/>
      <c r="AQ102" s="64"/>
      <c r="AR102" s="64"/>
      <c r="AS102" s="64"/>
      <c r="AT102" s="64"/>
      <c r="AU102" s="64"/>
      <c r="AV102" s="64"/>
      <c r="AW102" s="64"/>
      <c r="AX102" s="64"/>
      <c r="AY102" s="64"/>
      <c r="AZ102" s="64"/>
      <c r="BA102" s="64"/>
      <c r="BB102" s="64"/>
      <c r="BC102" s="64"/>
      <c r="BD102" s="64"/>
      <c r="BE102" s="64"/>
      <c r="BF102" s="64"/>
      <c r="BG102" s="64"/>
      <c r="BH102" s="64"/>
      <c r="BI102" s="64"/>
      <c r="BJ102" s="64"/>
      <c r="BK102" s="64"/>
      <c r="BL102" s="64"/>
      <c r="BM102" s="64"/>
      <c r="BN102" s="64"/>
      <c r="BO102" s="64"/>
      <c r="BP102" s="64"/>
      <c r="BQ102" s="64"/>
      <c r="BR102" s="64"/>
      <c r="BS102" s="64"/>
      <c r="BT102" s="64"/>
      <c r="BU102" s="64"/>
      <c r="BV102" s="64"/>
      <c r="BW102" s="64"/>
      <c r="BX102" s="64"/>
      <c r="BY102" s="64"/>
      <c r="BZ102" s="64"/>
      <c r="CA102" s="64"/>
      <c r="CB102" s="64"/>
      <c r="CC102" s="64"/>
      <c r="CD102" s="64"/>
      <c r="CE102" s="64"/>
      <c r="CF102" s="64"/>
      <c r="CG102" s="64"/>
      <c r="CH102" s="64"/>
    </row>
    <row r="103" spans="1:86" x14ac:dyDescent="0.35">
      <c r="A103" s="64"/>
      <c r="B103" s="64"/>
      <c r="C103" s="64"/>
      <c r="D103" s="64"/>
      <c r="E103" s="64"/>
      <c r="F103" s="64"/>
      <c r="G103" s="64"/>
      <c r="H103" s="64"/>
      <c r="I103" s="64"/>
      <c r="J103" s="64"/>
      <c r="K103" s="64"/>
      <c r="L103" s="64"/>
      <c r="M103" s="64"/>
      <c r="N103" s="64"/>
      <c r="O103" s="64"/>
      <c r="P103" s="64"/>
      <c r="Q103" s="64"/>
      <c r="R103" s="64"/>
      <c r="S103" s="64"/>
      <c r="T103" s="64"/>
      <c r="U103" s="64"/>
      <c r="V103" s="64"/>
      <c r="W103" s="64"/>
      <c r="X103" s="64"/>
      <c r="Y103" s="64"/>
      <c r="Z103" s="64"/>
      <c r="AA103" s="64"/>
      <c r="AB103" s="64"/>
      <c r="AC103" s="64"/>
      <c r="AD103" s="64"/>
      <c r="AE103" s="64"/>
      <c r="AF103" s="64"/>
      <c r="AG103" s="64"/>
      <c r="AH103" s="64"/>
      <c r="AI103" s="64"/>
      <c r="AJ103" s="64"/>
      <c r="AK103" s="64"/>
      <c r="AL103" s="64"/>
      <c r="AM103" s="64"/>
      <c r="AN103" s="64"/>
      <c r="AO103" s="64"/>
      <c r="AP103" s="64"/>
      <c r="AQ103" s="64"/>
      <c r="AR103" s="64"/>
      <c r="AS103" s="64"/>
      <c r="AT103" s="64"/>
      <c r="AU103" s="64"/>
      <c r="AV103" s="64"/>
      <c r="AW103" s="64"/>
      <c r="AX103" s="64"/>
      <c r="AY103" s="64"/>
      <c r="AZ103" s="64"/>
      <c r="BA103" s="64"/>
      <c r="BB103" s="64"/>
      <c r="BC103" s="64"/>
      <c r="BD103" s="64"/>
      <c r="BE103" s="64"/>
      <c r="BF103" s="64"/>
      <c r="BG103" s="64"/>
      <c r="BH103" s="64"/>
      <c r="BI103" s="64"/>
      <c r="BJ103" s="64"/>
      <c r="BK103" s="64"/>
      <c r="BL103" s="64"/>
      <c r="BM103" s="64"/>
      <c r="BN103" s="64"/>
      <c r="BO103" s="64"/>
      <c r="BP103" s="64"/>
      <c r="BQ103" s="64"/>
      <c r="BR103" s="64"/>
      <c r="BS103" s="64"/>
      <c r="BT103" s="64"/>
      <c r="BU103" s="64"/>
      <c r="BV103" s="64"/>
      <c r="BW103" s="64"/>
      <c r="BX103" s="64"/>
      <c r="BY103" s="64"/>
      <c r="BZ103" s="64"/>
      <c r="CA103" s="64"/>
      <c r="CB103" s="64"/>
      <c r="CC103" s="64"/>
      <c r="CD103" s="64"/>
      <c r="CE103" s="64"/>
      <c r="CF103" s="64"/>
      <c r="CG103" s="64"/>
      <c r="CH103" s="64"/>
    </row>
    <row r="104" spans="1:86" x14ac:dyDescent="0.35">
      <c r="A104" s="64"/>
      <c r="B104" s="64"/>
      <c r="C104" s="64"/>
      <c r="D104" s="64"/>
      <c r="E104" s="64"/>
      <c r="F104" s="64"/>
      <c r="G104" s="64"/>
      <c r="H104" s="64"/>
      <c r="I104" s="64"/>
      <c r="J104" s="64"/>
      <c r="K104" s="64"/>
      <c r="L104" s="64"/>
      <c r="M104" s="64"/>
      <c r="N104" s="64"/>
      <c r="O104" s="64"/>
      <c r="P104" s="64"/>
      <c r="Q104" s="64"/>
      <c r="R104" s="64"/>
      <c r="S104" s="64"/>
      <c r="T104" s="64"/>
      <c r="U104" s="64"/>
      <c r="V104" s="64"/>
      <c r="W104" s="64"/>
      <c r="X104" s="64"/>
      <c r="Y104" s="64"/>
      <c r="Z104" s="64"/>
      <c r="AA104" s="64"/>
      <c r="AB104" s="64"/>
      <c r="AC104" s="64"/>
      <c r="AD104" s="64"/>
      <c r="AE104" s="64"/>
      <c r="AF104" s="64"/>
      <c r="AG104" s="64"/>
      <c r="AH104" s="64"/>
      <c r="AI104" s="64"/>
      <c r="AJ104" s="64"/>
      <c r="AK104" s="64"/>
      <c r="AL104" s="64"/>
      <c r="AM104" s="64"/>
      <c r="AN104" s="64"/>
      <c r="AO104" s="64"/>
      <c r="AP104" s="64"/>
      <c r="AQ104" s="64"/>
      <c r="AR104" s="64"/>
      <c r="AS104" s="64"/>
      <c r="AT104" s="64"/>
      <c r="AU104" s="64"/>
      <c r="AV104" s="64"/>
      <c r="AW104" s="64"/>
      <c r="AX104" s="64"/>
      <c r="AY104" s="64"/>
      <c r="AZ104" s="64"/>
      <c r="BA104" s="64"/>
      <c r="BB104" s="64"/>
      <c r="BC104" s="64"/>
      <c r="BD104" s="64"/>
      <c r="BE104" s="64"/>
      <c r="BF104" s="64"/>
      <c r="BG104" s="64"/>
      <c r="BH104" s="64"/>
      <c r="BI104" s="64"/>
      <c r="BJ104" s="64"/>
      <c r="BK104" s="64"/>
      <c r="BL104" s="64"/>
      <c r="BM104" s="64"/>
      <c r="BN104" s="64"/>
      <c r="BO104" s="64"/>
      <c r="BP104" s="64"/>
      <c r="BQ104" s="64"/>
      <c r="BR104" s="64"/>
      <c r="BS104" s="64"/>
      <c r="BT104" s="64"/>
      <c r="BU104" s="64"/>
      <c r="BV104" s="64"/>
      <c r="BW104" s="64"/>
      <c r="BX104" s="64"/>
      <c r="BY104" s="64"/>
      <c r="BZ104" s="64"/>
      <c r="CA104" s="64"/>
      <c r="CB104" s="64"/>
      <c r="CC104" s="64"/>
      <c r="CD104" s="64"/>
      <c r="CE104" s="64"/>
      <c r="CF104" s="64"/>
      <c r="CG104" s="64"/>
      <c r="CH104" s="64"/>
    </row>
    <row r="105" spans="1:86" x14ac:dyDescent="0.35">
      <c r="A105" s="64"/>
      <c r="B105" s="64"/>
      <c r="C105" s="64"/>
      <c r="D105" s="64"/>
      <c r="E105" s="64"/>
      <c r="F105" s="64"/>
      <c r="G105" s="64"/>
      <c r="H105" s="64"/>
      <c r="I105" s="64"/>
      <c r="J105" s="64"/>
      <c r="K105" s="64"/>
      <c r="L105" s="64"/>
      <c r="M105" s="64"/>
      <c r="N105" s="64"/>
      <c r="O105" s="64"/>
      <c r="P105" s="64"/>
      <c r="Q105" s="64"/>
      <c r="R105" s="64"/>
      <c r="S105" s="64"/>
      <c r="T105" s="64"/>
      <c r="U105" s="64"/>
      <c r="V105" s="64"/>
      <c r="W105" s="64"/>
      <c r="X105" s="64"/>
      <c r="Y105" s="64"/>
      <c r="Z105" s="64"/>
      <c r="AA105" s="64"/>
      <c r="AB105" s="64"/>
      <c r="AC105" s="64"/>
      <c r="AD105" s="64"/>
      <c r="AE105" s="64"/>
      <c r="AF105" s="64"/>
      <c r="AG105" s="64"/>
      <c r="AH105" s="64"/>
      <c r="AI105" s="64"/>
      <c r="AJ105" s="64"/>
      <c r="AK105" s="64"/>
      <c r="AL105" s="64"/>
      <c r="AM105" s="64"/>
      <c r="AN105" s="64"/>
      <c r="AO105" s="64"/>
      <c r="AP105" s="64"/>
      <c r="AQ105" s="64"/>
      <c r="AR105" s="64"/>
      <c r="AS105" s="64"/>
      <c r="AT105" s="64"/>
      <c r="AU105" s="64"/>
      <c r="AV105" s="64"/>
      <c r="AW105" s="64"/>
      <c r="AX105" s="64"/>
      <c r="AY105" s="64"/>
      <c r="AZ105" s="64"/>
      <c r="BA105" s="64"/>
      <c r="BB105" s="64"/>
      <c r="BC105" s="64"/>
      <c r="BD105" s="64"/>
      <c r="BE105" s="64"/>
      <c r="BF105" s="64"/>
      <c r="BG105" s="64"/>
      <c r="BH105" s="64"/>
      <c r="BI105" s="64"/>
      <c r="BJ105" s="64"/>
      <c r="BK105" s="64"/>
      <c r="BL105" s="64"/>
      <c r="BM105" s="64"/>
      <c r="BN105" s="64"/>
      <c r="BO105" s="64"/>
      <c r="BP105" s="64"/>
      <c r="BQ105" s="64"/>
      <c r="BR105" s="64"/>
      <c r="BS105" s="64"/>
      <c r="BT105" s="64"/>
      <c r="BU105" s="64"/>
      <c r="BV105" s="64"/>
      <c r="BW105" s="64"/>
      <c r="BX105" s="64"/>
      <c r="BY105" s="64"/>
      <c r="BZ105" s="64"/>
      <c r="CA105" s="64"/>
      <c r="CB105" s="64"/>
      <c r="CC105" s="64"/>
      <c r="CD105" s="64"/>
      <c r="CE105" s="64"/>
      <c r="CF105" s="64"/>
      <c r="CG105" s="64"/>
      <c r="CH105" s="64"/>
    </row>
    <row r="106" spans="1:86" x14ac:dyDescent="0.35">
      <c r="A106" s="64"/>
      <c r="B106" s="64"/>
      <c r="C106" s="64"/>
      <c r="D106" s="64"/>
      <c r="E106" s="64"/>
      <c r="F106" s="64"/>
      <c r="G106" s="64"/>
      <c r="H106" s="64"/>
      <c r="I106" s="64"/>
      <c r="J106" s="64"/>
      <c r="K106" s="64"/>
      <c r="L106" s="64"/>
      <c r="M106" s="64"/>
      <c r="N106" s="64"/>
      <c r="O106" s="64"/>
      <c r="P106" s="64"/>
      <c r="Q106" s="64"/>
      <c r="R106" s="64"/>
      <c r="S106" s="64"/>
      <c r="T106" s="64"/>
      <c r="U106" s="64"/>
      <c r="V106" s="64"/>
      <c r="W106" s="64"/>
      <c r="X106" s="64"/>
      <c r="Y106" s="64"/>
      <c r="Z106" s="64"/>
      <c r="AA106" s="64"/>
      <c r="AB106" s="64"/>
      <c r="AC106" s="64"/>
      <c r="AD106" s="64"/>
      <c r="AE106" s="64"/>
      <c r="AF106" s="64"/>
      <c r="AG106" s="64"/>
      <c r="AH106" s="64"/>
      <c r="AI106" s="64"/>
      <c r="AJ106" s="64"/>
      <c r="AK106" s="64"/>
      <c r="AL106" s="64"/>
      <c r="AM106" s="64"/>
      <c r="AN106" s="64"/>
      <c r="AO106" s="64"/>
      <c r="AP106" s="64"/>
      <c r="AQ106" s="64"/>
      <c r="AR106" s="64"/>
      <c r="AS106" s="64"/>
      <c r="AT106" s="64"/>
      <c r="AU106" s="64"/>
      <c r="AV106" s="64"/>
      <c r="AW106" s="64"/>
      <c r="AX106" s="64"/>
      <c r="AY106" s="64"/>
      <c r="AZ106" s="64"/>
      <c r="BA106" s="64"/>
      <c r="BB106" s="64"/>
      <c r="BC106" s="64"/>
      <c r="BD106" s="64"/>
      <c r="BE106" s="64"/>
      <c r="BF106" s="64"/>
      <c r="BG106" s="64"/>
      <c r="BH106" s="64"/>
      <c r="BI106" s="64"/>
      <c r="BJ106" s="64"/>
      <c r="BK106" s="64"/>
      <c r="BL106" s="64"/>
      <c r="BM106" s="64"/>
      <c r="BN106" s="64"/>
      <c r="BO106" s="64"/>
      <c r="BP106" s="64"/>
      <c r="BQ106" s="64"/>
      <c r="BR106" s="64"/>
      <c r="BS106" s="64"/>
      <c r="BT106" s="64"/>
      <c r="BU106" s="64"/>
      <c r="BV106" s="64"/>
      <c r="BW106" s="64"/>
      <c r="BX106" s="64"/>
      <c r="BY106" s="64"/>
      <c r="BZ106" s="64"/>
      <c r="CA106" s="64"/>
      <c r="CB106" s="64"/>
      <c r="CC106" s="64"/>
      <c r="CD106" s="64"/>
      <c r="CE106" s="64"/>
      <c r="CF106" s="64"/>
      <c r="CG106" s="64"/>
      <c r="CH106" s="64"/>
    </row>
    <row r="107" spans="1:86" x14ac:dyDescent="0.35">
      <c r="A107" s="64"/>
      <c r="B107" s="64"/>
      <c r="C107" s="64"/>
      <c r="D107" s="64"/>
      <c r="E107" s="64"/>
      <c r="F107" s="64"/>
      <c r="G107" s="64"/>
      <c r="H107" s="64"/>
      <c r="I107" s="64"/>
      <c r="J107" s="64"/>
      <c r="K107" s="64"/>
      <c r="L107" s="64"/>
      <c r="M107" s="64"/>
      <c r="N107" s="64"/>
      <c r="O107" s="64"/>
      <c r="P107" s="64"/>
      <c r="Q107" s="64"/>
      <c r="R107" s="64"/>
      <c r="S107" s="64"/>
      <c r="T107" s="64"/>
      <c r="U107" s="64"/>
      <c r="V107" s="64"/>
      <c r="W107" s="64"/>
      <c r="X107" s="64"/>
      <c r="Y107" s="64"/>
      <c r="Z107" s="64"/>
      <c r="AA107" s="64"/>
      <c r="AB107" s="64"/>
      <c r="AC107" s="64"/>
      <c r="AD107" s="64"/>
      <c r="AE107" s="64"/>
      <c r="AF107" s="64"/>
      <c r="AG107" s="64"/>
      <c r="AH107" s="64"/>
      <c r="AI107" s="64"/>
      <c r="AJ107" s="64"/>
      <c r="AK107" s="64"/>
      <c r="AL107" s="64"/>
      <c r="AM107" s="64"/>
      <c r="AN107" s="64"/>
      <c r="AO107" s="64"/>
      <c r="AP107" s="64"/>
      <c r="AQ107" s="64"/>
      <c r="AR107" s="64"/>
      <c r="AS107" s="64"/>
      <c r="AT107" s="64"/>
      <c r="AU107" s="64"/>
      <c r="AV107" s="64"/>
      <c r="AW107" s="64"/>
      <c r="AX107" s="64"/>
      <c r="AY107" s="64"/>
      <c r="AZ107" s="64"/>
      <c r="BA107" s="64"/>
      <c r="BB107" s="64"/>
      <c r="BC107" s="64"/>
      <c r="BD107" s="64"/>
      <c r="BE107" s="64"/>
      <c r="BF107" s="64"/>
      <c r="BG107" s="64"/>
      <c r="BH107" s="64"/>
      <c r="BI107" s="64"/>
      <c r="BJ107" s="64"/>
      <c r="BK107" s="64"/>
      <c r="BL107" s="64"/>
      <c r="BM107" s="64"/>
      <c r="BN107" s="64"/>
      <c r="BO107" s="64"/>
      <c r="BP107" s="64"/>
      <c r="BQ107" s="64"/>
      <c r="BR107" s="64"/>
      <c r="BS107" s="64"/>
      <c r="BT107" s="64"/>
      <c r="BU107" s="64"/>
      <c r="BV107" s="64"/>
      <c r="BW107" s="64"/>
      <c r="BX107" s="64"/>
      <c r="BY107" s="64"/>
      <c r="BZ107" s="64"/>
      <c r="CA107" s="64"/>
      <c r="CB107" s="64"/>
      <c r="CC107" s="64"/>
      <c r="CD107" s="64"/>
      <c r="CE107" s="64"/>
      <c r="CF107" s="64"/>
      <c r="CG107" s="64"/>
      <c r="CH107" s="64"/>
    </row>
    <row r="108" spans="1:86" x14ac:dyDescent="0.35">
      <c r="A108" s="64"/>
      <c r="B108" s="64"/>
      <c r="C108" s="64"/>
      <c r="D108" s="64"/>
      <c r="E108" s="64"/>
      <c r="F108" s="64"/>
      <c r="G108" s="64"/>
      <c r="H108" s="64"/>
      <c r="I108" s="64"/>
      <c r="J108" s="64"/>
      <c r="K108" s="64"/>
      <c r="L108" s="64"/>
      <c r="M108" s="64"/>
      <c r="N108" s="64"/>
      <c r="O108" s="64"/>
      <c r="P108" s="64"/>
      <c r="Q108" s="64"/>
      <c r="R108" s="64"/>
      <c r="S108" s="64"/>
      <c r="T108" s="64"/>
      <c r="U108" s="64"/>
      <c r="V108" s="64"/>
      <c r="W108" s="64"/>
      <c r="X108" s="64"/>
      <c r="Y108" s="64"/>
      <c r="Z108" s="64"/>
      <c r="AA108" s="64"/>
      <c r="AB108" s="64"/>
      <c r="AC108" s="64"/>
      <c r="AD108" s="64"/>
      <c r="AE108" s="64"/>
      <c r="AF108" s="64"/>
      <c r="AG108" s="64"/>
      <c r="AH108" s="64"/>
      <c r="AI108" s="64"/>
      <c r="AJ108" s="64"/>
      <c r="AK108" s="64"/>
      <c r="AL108" s="64"/>
      <c r="AM108" s="64"/>
      <c r="AN108" s="64"/>
      <c r="AO108" s="64"/>
      <c r="AP108" s="64"/>
      <c r="AQ108" s="64"/>
      <c r="AR108" s="64"/>
      <c r="AS108" s="64"/>
      <c r="AT108" s="64"/>
      <c r="AU108" s="64"/>
      <c r="AV108" s="64"/>
      <c r="AW108" s="64"/>
      <c r="AX108" s="64"/>
      <c r="AY108" s="64"/>
      <c r="AZ108" s="64"/>
      <c r="BA108" s="64"/>
      <c r="BB108" s="64"/>
      <c r="BC108" s="64"/>
      <c r="BD108" s="64"/>
      <c r="BE108" s="64"/>
      <c r="BF108" s="64"/>
      <c r="BG108" s="64"/>
      <c r="BH108" s="64"/>
      <c r="BI108" s="64"/>
      <c r="BJ108" s="64"/>
      <c r="BK108" s="64"/>
      <c r="BL108" s="64"/>
      <c r="BM108" s="64"/>
      <c r="BN108" s="64"/>
      <c r="BO108" s="64"/>
      <c r="BP108" s="64"/>
      <c r="BQ108" s="64"/>
      <c r="BR108" s="64"/>
      <c r="BS108" s="64"/>
      <c r="BT108" s="64"/>
      <c r="BU108" s="64"/>
      <c r="BV108" s="64"/>
      <c r="BW108" s="64"/>
      <c r="BX108" s="64"/>
      <c r="BY108" s="64"/>
      <c r="BZ108" s="64"/>
      <c r="CA108" s="64"/>
      <c r="CB108" s="64"/>
      <c r="CC108" s="64"/>
      <c r="CD108" s="64"/>
      <c r="CE108" s="64"/>
      <c r="CF108" s="64"/>
      <c r="CG108" s="64"/>
      <c r="CH108" s="64"/>
    </row>
    <row r="109" spans="1:86" x14ac:dyDescent="0.35">
      <c r="A109" s="64"/>
      <c r="B109" s="64"/>
      <c r="C109" s="64"/>
      <c r="D109" s="64"/>
      <c r="E109" s="64"/>
      <c r="F109" s="64"/>
      <c r="G109" s="64"/>
      <c r="H109" s="64"/>
      <c r="I109" s="64"/>
      <c r="J109" s="64"/>
      <c r="K109" s="64"/>
      <c r="L109" s="64"/>
      <c r="M109" s="64"/>
      <c r="N109" s="64"/>
      <c r="O109" s="64"/>
      <c r="P109" s="64"/>
      <c r="Q109" s="64"/>
      <c r="R109" s="64"/>
      <c r="S109" s="64"/>
      <c r="T109" s="64"/>
      <c r="U109" s="64"/>
      <c r="V109" s="64"/>
      <c r="W109" s="64"/>
      <c r="X109" s="64"/>
      <c r="Y109" s="64"/>
      <c r="Z109" s="64"/>
      <c r="AA109" s="64"/>
      <c r="AB109" s="64"/>
      <c r="AC109" s="64"/>
      <c r="AD109" s="64"/>
      <c r="AE109" s="64"/>
      <c r="AF109" s="64"/>
      <c r="AG109" s="64"/>
      <c r="AH109" s="64"/>
      <c r="AI109" s="64"/>
      <c r="AJ109" s="64"/>
      <c r="AK109" s="64"/>
      <c r="AL109" s="64"/>
      <c r="AM109" s="64"/>
      <c r="AN109" s="64"/>
      <c r="AO109" s="64"/>
      <c r="AP109" s="64"/>
      <c r="AQ109" s="64"/>
      <c r="AR109" s="64"/>
      <c r="AS109" s="64"/>
      <c r="AT109" s="64"/>
      <c r="AU109" s="64"/>
      <c r="AV109" s="64"/>
      <c r="AW109" s="64"/>
      <c r="AX109" s="64"/>
      <c r="AY109" s="64"/>
      <c r="AZ109" s="64"/>
      <c r="BA109" s="64"/>
      <c r="BB109" s="64"/>
      <c r="BC109" s="64"/>
      <c r="BD109" s="64"/>
      <c r="BE109" s="64"/>
      <c r="BF109" s="64"/>
      <c r="BG109" s="64"/>
      <c r="BH109" s="64"/>
      <c r="BI109" s="64"/>
      <c r="BJ109" s="64"/>
      <c r="BK109" s="64"/>
      <c r="BL109" s="64"/>
      <c r="BM109" s="64"/>
      <c r="BN109" s="64"/>
      <c r="BO109" s="64"/>
      <c r="BP109" s="64"/>
      <c r="BQ109" s="64"/>
      <c r="BR109" s="64"/>
      <c r="BS109" s="64"/>
      <c r="BT109" s="64"/>
      <c r="BU109" s="64"/>
      <c r="BV109" s="64"/>
      <c r="BW109" s="64"/>
      <c r="BX109" s="64"/>
      <c r="BY109" s="64"/>
      <c r="BZ109" s="64"/>
      <c r="CA109" s="64"/>
      <c r="CB109" s="64"/>
      <c r="CC109" s="64"/>
      <c r="CD109" s="64"/>
      <c r="CE109" s="64"/>
      <c r="CF109" s="64"/>
      <c r="CG109" s="64"/>
      <c r="CH109" s="64"/>
    </row>
    <row r="110" spans="1:86" x14ac:dyDescent="0.35">
      <c r="A110" s="64"/>
      <c r="B110" s="64"/>
      <c r="C110" s="64"/>
      <c r="D110" s="64"/>
      <c r="E110" s="64"/>
      <c r="F110" s="64"/>
      <c r="G110" s="64"/>
      <c r="H110" s="64"/>
      <c r="I110" s="64"/>
      <c r="J110" s="64"/>
      <c r="K110" s="64"/>
      <c r="L110" s="64"/>
      <c r="M110" s="64"/>
      <c r="N110" s="64"/>
      <c r="O110" s="64"/>
      <c r="P110" s="64"/>
      <c r="Q110" s="64"/>
      <c r="R110" s="64"/>
      <c r="S110" s="64"/>
      <c r="T110" s="64"/>
      <c r="U110" s="64"/>
      <c r="V110" s="64"/>
      <c r="W110" s="64"/>
      <c r="X110" s="64"/>
      <c r="Y110" s="64"/>
      <c r="Z110" s="64"/>
      <c r="AA110" s="64"/>
      <c r="AB110" s="64"/>
      <c r="AC110" s="64"/>
      <c r="AD110" s="64"/>
      <c r="AE110" s="64"/>
      <c r="AF110" s="64"/>
      <c r="AG110" s="64"/>
      <c r="AH110" s="64"/>
      <c r="AI110" s="64"/>
      <c r="AJ110" s="64"/>
      <c r="AK110" s="64"/>
      <c r="AL110" s="64"/>
      <c r="AM110" s="64"/>
      <c r="AN110" s="64"/>
      <c r="AO110" s="64"/>
      <c r="AP110" s="64"/>
      <c r="AQ110" s="64"/>
      <c r="AR110" s="64"/>
      <c r="AS110" s="64"/>
      <c r="AT110" s="64"/>
      <c r="AU110" s="64"/>
      <c r="AV110" s="64"/>
      <c r="AW110" s="64"/>
      <c r="AX110" s="64"/>
      <c r="AY110" s="64"/>
      <c r="AZ110" s="64"/>
      <c r="BA110" s="64"/>
      <c r="BB110" s="64"/>
      <c r="BC110" s="64"/>
      <c r="BD110" s="64"/>
      <c r="BE110" s="64"/>
      <c r="BF110" s="64"/>
      <c r="BG110" s="64"/>
      <c r="BH110" s="64"/>
      <c r="BI110" s="64"/>
      <c r="BJ110" s="64"/>
      <c r="BK110" s="64"/>
      <c r="BL110" s="64"/>
      <c r="BM110" s="64"/>
      <c r="BN110" s="64"/>
      <c r="BO110" s="64"/>
      <c r="BP110" s="64"/>
      <c r="BQ110" s="64"/>
      <c r="BR110" s="64"/>
      <c r="BS110" s="64"/>
      <c r="BT110" s="64"/>
      <c r="BU110" s="64"/>
      <c r="BV110" s="64"/>
      <c r="BW110" s="64"/>
      <c r="BX110" s="64"/>
      <c r="BY110" s="64"/>
      <c r="BZ110" s="64"/>
      <c r="CA110" s="64"/>
      <c r="CB110" s="64"/>
      <c r="CC110" s="64"/>
      <c r="CD110" s="64"/>
      <c r="CE110" s="64"/>
      <c r="CF110" s="64"/>
      <c r="CG110" s="64"/>
      <c r="CH110" s="64"/>
    </row>
    <row r="111" spans="1:86" x14ac:dyDescent="0.35">
      <c r="A111" s="64"/>
      <c r="B111" s="64"/>
      <c r="C111" s="64"/>
      <c r="D111" s="64"/>
      <c r="E111" s="64"/>
      <c r="F111" s="64"/>
      <c r="G111" s="64"/>
      <c r="H111" s="64"/>
      <c r="I111" s="64"/>
      <c r="J111" s="64"/>
      <c r="K111" s="64"/>
      <c r="L111" s="64"/>
      <c r="M111" s="64"/>
      <c r="N111" s="64"/>
      <c r="O111" s="64"/>
      <c r="P111" s="64"/>
      <c r="Q111" s="64"/>
      <c r="R111" s="64"/>
      <c r="S111" s="64"/>
      <c r="T111" s="64"/>
      <c r="U111" s="64"/>
      <c r="V111" s="64"/>
      <c r="W111" s="64"/>
      <c r="X111" s="64"/>
      <c r="Y111" s="64"/>
      <c r="Z111" s="64"/>
      <c r="AA111" s="64"/>
      <c r="AB111" s="64"/>
      <c r="AC111" s="64"/>
      <c r="AD111" s="64"/>
      <c r="AE111" s="64"/>
      <c r="AF111" s="64"/>
      <c r="AG111" s="64"/>
      <c r="AH111" s="64"/>
      <c r="AI111" s="64"/>
      <c r="AJ111" s="64"/>
      <c r="AK111" s="64"/>
      <c r="AL111" s="64"/>
      <c r="AM111" s="64"/>
      <c r="AN111" s="64"/>
      <c r="AO111" s="64"/>
      <c r="AP111" s="64"/>
      <c r="AQ111" s="64"/>
      <c r="AR111" s="64"/>
      <c r="AS111" s="64"/>
      <c r="AT111" s="64"/>
      <c r="AU111" s="64"/>
      <c r="AV111" s="64"/>
      <c r="AW111" s="64"/>
      <c r="AX111" s="64"/>
      <c r="AY111" s="64"/>
      <c r="AZ111" s="64"/>
      <c r="BA111" s="64"/>
      <c r="BB111" s="64"/>
      <c r="BC111" s="64"/>
      <c r="BD111" s="64"/>
      <c r="BE111" s="64"/>
      <c r="BF111" s="64"/>
      <c r="BG111" s="64"/>
      <c r="BH111" s="64"/>
      <c r="BI111" s="64"/>
      <c r="BJ111" s="64"/>
      <c r="BK111" s="64"/>
      <c r="BL111" s="64"/>
      <c r="BM111" s="64"/>
      <c r="BN111" s="64"/>
      <c r="BO111" s="64"/>
      <c r="BP111" s="64"/>
      <c r="BQ111" s="64"/>
      <c r="BR111" s="64"/>
      <c r="BS111" s="64"/>
      <c r="BT111" s="64"/>
      <c r="BU111" s="64"/>
      <c r="BV111" s="64"/>
      <c r="BW111" s="64"/>
      <c r="BX111" s="64"/>
      <c r="BY111" s="64"/>
      <c r="BZ111" s="64"/>
      <c r="CA111" s="64"/>
      <c r="CB111" s="64"/>
      <c r="CC111" s="64"/>
      <c r="CD111" s="64"/>
      <c r="CE111" s="64"/>
      <c r="CF111" s="64"/>
      <c r="CG111" s="64"/>
      <c r="CH111" s="64"/>
    </row>
    <row r="112" spans="1:86" x14ac:dyDescent="0.35">
      <c r="A112" s="64"/>
      <c r="B112" s="64"/>
      <c r="C112" s="64"/>
      <c r="D112" s="64"/>
      <c r="E112" s="64"/>
      <c r="F112" s="64"/>
      <c r="G112" s="64"/>
      <c r="H112" s="64"/>
      <c r="I112" s="64"/>
      <c r="J112" s="64"/>
      <c r="K112" s="64"/>
      <c r="L112" s="64"/>
      <c r="M112" s="64"/>
      <c r="N112" s="64"/>
      <c r="O112" s="64"/>
      <c r="P112" s="64"/>
      <c r="Q112" s="64"/>
      <c r="R112" s="64"/>
      <c r="S112" s="64"/>
      <c r="T112" s="64"/>
      <c r="U112" s="64"/>
      <c r="V112" s="64"/>
      <c r="W112" s="64"/>
      <c r="X112" s="64"/>
      <c r="Y112" s="64"/>
      <c r="Z112" s="64"/>
      <c r="AA112" s="64"/>
      <c r="AB112" s="64"/>
      <c r="AC112" s="64"/>
      <c r="AD112" s="64"/>
      <c r="AE112" s="64"/>
      <c r="AF112" s="64"/>
      <c r="AG112" s="64"/>
      <c r="AH112" s="64"/>
      <c r="AI112" s="64"/>
      <c r="AJ112" s="64"/>
      <c r="AK112" s="64"/>
      <c r="AL112" s="64"/>
      <c r="AM112" s="64"/>
      <c r="AN112" s="64"/>
      <c r="AO112" s="64"/>
      <c r="AP112" s="64"/>
      <c r="AQ112" s="64"/>
      <c r="AR112" s="64"/>
      <c r="AS112" s="64"/>
      <c r="AT112" s="64"/>
      <c r="AU112" s="64"/>
      <c r="AV112" s="64"/>
      <c r="AW112" s="64"/>
      <c r="AX112" s="64"/>
      <c r="AY112" s="64"/>
      <c r="AZ112" s="64"/>
      <c r="BA112" s="64"/>
      <c r="BB112" s="64"/>
      <c r="BC112" s="64"/>
      <c r="BD112" s="64"/>
      <c r="BE112" s="64"/>
      <c r="BF112" s="64"/>
      <c r="BG112" s="64"/>
      <c r="BH112" s="64"/>
      <c r="BI112" s="64"/>
      <c r="BJ112" s="64"/>
      <c r="BK112" s="64"/>
      <c r="BL112" s="64"/>
      <c r="BM112" s="64"/>
      <c r="BN112" s="64"/>
      <c r="BO112" s="64"/>
      <c r="BP112" s="64"/>
      <c r="BQ112" s="64"/>
      <c r="BR112" s="64"/>
      <c r="BS112" s="64"/>
      <c r="BT112" s="64"/>
      <c r="BU112" s="64"/>
      <c r="BV112" s="64"/>
      <c r="BW112" s="64"/>
      <c r="BX112" s="64"/>
      <c r="BY112" s="64"/>
      <c r="BZ112" s="64"/>
      <c r="CA112" s="64"/>
      <c r="CB112" s="64"/>
      <c r="CC112" s="64"/>
      <c r="CD112" s="64"/>
      <c r="CE112" s="64"/>
      <c r="CF112" s="64"/>
      <c r="CG112" s="64"/>
      <c r="CH112" s="64"/>
    </row>
    <row r="113" spans="1:86" x14ac:dyDescent="0.35">
      <c r="A113" s="64"/>
      <c r="B113" s="64"/>
      <c r="C113" s="64"/>
      <c r="D113" s="64"/>
      <c r="E113" s="64"/>
      <c r="F113" s="64"/>
      <c r="G113" s="64"/>
      <c r="H113" s="64"/>
      <c r="I113" s="64"/>
      <c r="J113" s="64"/>
      <c r="K113" s="64"/>
      <c r="L113" s="64"/>
      <c r="M113" s="64"/>
      <c r="N113" s="64"/>
      <c r="O113" s="64"/>
      <c r="P113" s="64"/>
      <c r="Q113" s="64"/>
      <c r="R113" s="64"/>
      <c r="S113" s="64"/>
      <c r="T113" s="64"/>
      <c r="U113" s="64"/>
      <c r="V113" s="64"/>
      <c r="W113" s="64"/>
      <c r="X113" s="64"/>
      <c r="Y113" s="64"/>
      <c r="Z113" s="64"/>
      <c r="AA113" s="64"/>
      <c r="AB113" s="64"/>
      <c r="AC113" s="64"/>
      <c r="AD113" s="64"/>
      <c r="AE113" s="64"/>
      <c r="AF113" s="64"/>
      <c r="AG113" s="64"/>
      <c r="AH113" s="64"/>
      <c r="AI113" s="64"/>
      <c r="AJ113" s="64"/>
      <c r="AK113" s="64"/>
      <c r="AL113" s="64"/>
      <c r="AM113" s="64"/>
      <c r="AN113" s="64"/>
      <c r="AO113" s="64"/>
      <c r="AP113" s="64"/>
      <c r="AQ113" s="64"/>
      <c r="AR113" s="64"/>
      <c r="AS113" s="64"/>
      <c r="AT113" s="64"/>
      <c r="AU113" s="64"/>
      <c r="AV113" s="64"/>
      <c r="AW113" s="64"/>
      <c r="AX113" s="64"/>
      <c r="AY113" s="64"/>
      <c r="AZ113" s="64"/>
      <c r="BA113" s="64"/>
      <c r="BB113" s="64"/>
      <c r="BC113" s="64"/>
      <c r="BD113" s="64"/>
      <c r="BE113" s="64"/>
      <c r="BF113" s="64"/>
      <c r="BG113" s="64"/>
      <c r="BH113" s="64"/>
      <c r="BI113" s="64"/>
      <c r="BJ113" s="64"/>
      <c r="BK113" s="64"/>
      <c r="BL113" s="64"/>
      <c r="BM113" s="64"/>
      <c r="BN113" s="64"/>
      <c r="BO113" s="64"/>
      <c r="BP113" s="64"/>
      <c r="BQ113" s="64"/>
      <c r="BR113" s="64"/>
      <c r="BS113" s="64"/>
      <c r="BT113" s="64"/>
      <c r="BU113" s="64"/>
      <c r="BV113" s="64"/>
      <c r="BW113" s="64"/>
      <c r="BX113" s="64"/>
      <c r="BY113" s="64"/>
      <c r="BZ113" s="64"/>
      <c r="CA113" s="64"/>
      <c r="CB113" s="64"/>
      <c r="CC113" s="64"/>
      <c r="CD113" s="64"/>
      <c r="CE113" s="64"/>
      <c r="CF113" s="64"/>
      <c r="CG113" s="64"/>
      <c r="CH113" s="64"/>
    </row>
    <row r="114" spans="1:86" x14ac:dyDescent="0.35">
      <c r="A114" s="64"/>
      <c r="B114" s="64"/>
      <c r="C114" s="64"/>
      <c r="D114" s="64"/>
      <c r="E114" s="64"/>
      <c r="F114" s="64"/>
      <c r="G114" s="64"/>
      <c r="H114" s="64"/>
      <c r="I114" s="64"/>
      <c r="J114" s="64"/>
      <c r="K114" s="64"/>
      <c r="L114" s="64"/>
      <c r="M114" s="64"/>
      <c r="N114" s="64"/>
      <c r="O114" s="64"/>
      <c r="P114" s="64"/>
      <c r="Q114" s="64"/>
      <c r="R114" s="64"/>
      <c r="S114" s="64"/>
      <c r="T114" s="64"/>
      <c r="U114" s="64"/>
      <c r="V114" s="64"/>
      <c r="W114" s="64"/>
      <c r="X114" s="64"/>
      <c r="Y114" s="64"/>
      <c r="Z114" s="64"/>
      <c r="AA114" s="64"/>
      <c r="AB114" s="64"/>
      <c r="AC114" s="64"/>
      <c r="AD114" s="64"/>
      <c r="AE114" s="64"/>
      <c r="AF114" s="64"/>
      <c r="AG114" s="64"/>
      <c r="AH114" s="64"/>
      <c r="AI114" s="64"/>
      <c r="AJ114" s="64"/>
      <c r="AK114" s="64"/>
      <c r="AL114" s="64"/>
      <c r="AM114" s="64"/>
      <c r="AN114" s="64"/>
      <c r="AO114" s="64"/>
      <c r="AP114" s="64"/>
      <c r="AQ114" s="64"/>
      <c r="AR114" s="64"/>
      <c r="AS114" s="64"/>
      <c r="AT114" s="64"/>
      <c r="AU114" s="64"/>
      <c r="AV114" s="64"/>
      <c r="AW114" s="64"/>
      <c r="AX114" s="64"/>
      <c r="AY114" s="64"/>
      <c r="AZ114" s="64"/>
      <c r="BA114" s="64"/>
      <c r="BB114" s="64"/>
      <c r="BC114" s="64"/>
      <c r="BD114" s="64"/>
      <c r="BE114" s="64"/>
      <c r="BF114" s="64"/>
      <c r="BG114" s="64"/>
      <c r="BH114" s="64"/>
      <c r="BI114" s="64"/>
      <c r="BJ114" s="64"/>
      <c r="BK114" s="64"/>
      <c r="BL114" s="64"/>
      <c r="BM114" s="64"/>
      <c r="BN114" s="64"/>
      <c r="BO114" s="64"/>
      <c r="BP114" s="64"/>
      <c r="BQ114" s="64"/>
      <c r="BR114" s="64"/>
      <c r="BS114" s="64"/>
      <c r="BT114" s="64"/>
      <c r="BU114" s="64"/>
      <c r="BV114" s="64"/>
      <c r="BW114" s="64"/>
      <c r="BX114" s="64"/>
      <c r="BY114" s="64"/>
      <c r="BZ114" s="64"/>
      <c r="CA114" s="64"/>
      <c r="CB114" s="64"/>
      <c r="CC114" s="64"/>
      <c r="CD114" s="64"/>
      <c r="CE114" s="64"/>
      <c r="CF114" s="64"/>
      <c r="CG114" s="64"/>
      <c r="CH114" s="64"/>
    </row>
    <row r="115" spans="1:86" x14ac:dyDescent="0.35">
      <c r="A115" s="64"/>
      <c r="B115" s="64"/>
      <c r="C115" s="64"/>
      <c r="D115" s="64"/>
      <c r="E115" s="64"/>
      <c r="F115" s="64"/>
      <c r="G115" s="64"/>
      <c r="H115" s="64"/>
      <c r="I115" s="64"/>
      <c r="J115" s="64"/>
      <c r="K115" s="64"/>
      <c r="L115" s="64"/>
      <c r="M115" s="64"/>
      <c r="N115" s="64"/>
      <c r="O115" s="64"/>
      <c r="P115" s="64"/>
      <c r="Q115" s="64"/>
      <c r="R115" s="64"/>
      <c r="S115" s="64"/>
      <c r="T115" s="64"/>
      <c r="U115" s="64"/>
      <c r="V115" s="64"/>
      <c r="W115" s="64"/>
      <c r="X115" s="64"/>
      <c r="Y115" s="64"/>
      <c r="Z115" s="64"/>
      <c r="AA115" s="64"/>
      <c r="AB115" s="64"/>
      <c r="AC115" s="64"/>
      <c r="AD115" s="64"/>
      <c r="AE115" s="64"/>
      <c r="AF115" s="64"/>
      <c r="AG115" s="64"/>
      <c r="AH115" s="64"/>
      <c r="AI115" s="64"/>
      <c r="AJ115" s="64"/>
      <c r="AK115" s="64"/>
      <c r="AL115" s="64"/>
      <c r="AM115" s="64"/>
      <c r="AN115" s="64"/>
      <c r="AO115" s="64"/>
      <c r="AP115" s="64"/>
      <c r="AQ115" s="64"/>
      <c r="AR115" s="64"/>
      <c r="AS115" s="64"/>
      <c r="AT115" s="64"/>
      <c r="AU115" s="64"/>
      <c r="AV115" s="64"/>
      <c r="AW115" s="64"/>
      <c r="AX115" s="64"/>
      <c r="AY115" s="64"/>
      <c r="AZ115" s="64"/>
      <c r="BA115" s="64"/>
      <c r="BB115" s="64"/>
      <c r="BC115" s="64"/>
      <c r="BD115" s="64"/>
      <c r="BE115" s="64"/>
      <c r="BF115" s="64"/>
      <c r="BG115" s="64"/>
      <c r="BH115" s="64"/>
      <c r="BI115" s="64"/>
      <c r="BJ115" s="64"/>
      <c r="BK115" s="64"/>
      <c r="BL115" s="64"/>
      <c r="BM115" s="64"/>
      <c r="BN115" s="64"/>
      <c r="BO115" s="64"/>
      <c r="BP115" s="64"/>
      <c r="BQ115" s="64"/>
      <c r="BR115" s="64"/>
      <c r="BS115" s="64"/>
      <c r="BT115" s="64"/>
      <c r="BU115" s="64"/>
      <c r="BV115" s="64"/>
      <c r="BW115" s="64"/>
      <c r="BX115" s="64"/>
      <c r="BY115" s="64"/>
      <c r="BZ115" s="64"/>
      <c r="CA115" s="64"/>
      <c r="CB115" s="64"/>
      <c r="CC115" s="64"/>
      <c r="CD115" s="64"/>
      <c r="CE115" s="64"/>
      <c r="CF115" s="64"/>
      <c r="CG115" s="64"/>
      <c r="CH115" s="64"/>
    </row>
    <row r="116" spans="1:86" x14ac:dyDescent="0.35">
      <c r="A116" s="64"/>
      <c r="B116" s="64"/>
      <c r="C116" s="64"/>
      <c r="D116" s="64"/>
      <c r="E116" s="64"/>
      <c r="F116" s="64"/>
      <c r="G116" s="64"/>
      <c r="H116" s="64"/>
      <c r="I116" s="64"/>
      <c r="J116" s="64"/>
      <c r="K116" s="64"/>
      <c r="L116" s="64"/>
      <c r="M116" s="64"/>
      <c r="N116" s="64"/>
      <c r="O116" s="64"/>
      <c r="P116" s="64"/>
      <c r="Q116" s="64"/>
      <c r="R116" s="64"/>
      <c r="S116" s="64"/>
      <c r="T116" s="64"/>
      <c r="U116" s="64"/>
      <c r="V116" s="64"/>
      <c r="W116" s="64"/>
      <c r="X116" s="64"/>
      <c r="Y116" s="64"/>
      <c r="Z116" s="326"/>
      <c r="AA116" s="326"/>
      <c r="AB116" s="326"/>
      <c r="AC116" s="326"/>
      <c r="AD116" s="326"/>
      <c r="AE116" s="326"/>
      <c r="AF116" s="326"/>
      <c r="AG116" s="326"/>
      <c r="AH116" s="326"/>
      <c r="AI116" s="326"/>
      <c r="AJ116" s="326"/>
      <c r="AK116" s="326"/>
      <c r="AL116" s="326"/>
      <c r="AM116" s="326"/>
      <c r="AN116" s="326"/>
      <c r="AO116" s="326"/>
      <c r="AP116" s="326"/>
      <c r="AQ116" s="326"/>
      <c r="AR116" s="326"/>
      <c r="AS116" s="326"/>
      <c r="AT116" s="326"/>
      <c r="AU116" s="326"/>
      <c r="AV116" s="326"/>
      <c r="AW116" s="326"/>
      <c r="AX116" s="326"/>
      <c r="AY116" s="326"/>
      <c r="AZ116" s="326"/>
      <c r="BA116" s="326"/>
      <c r="BB116" s="326"/>
      <c r="BC116" s="326"/>
      <c r="BD116" s="326"/>
      <c r="BE116" s="326"/>
      <c r="BF116" s="326"/>
      <c r="BG116" s="326"/>
      <c r="BH116" s="326"/>
      <c r="BI116" s="326"/>
      <c r="BJ116" s="326"/>
      <c r="BK116" s="326"/>
      <c r="BL116" s="326"/>
      <c r="BM116" s="326"/>
      <c r="BN116" s="326"/>
      <c r="BO116" s="326"/>
      <c r="BP116" s="326"/>
      <c r="BQ116" s="326"/>
      <c r="BR116" s="326"/>
      <c r="BS116" s="326"/>
      <c r="BT116" s="326"/>
      <c r="BU116" s="326"/>
      <c r="BV116" s="326"/>
      <c r="BW116" s="326"/>
      <c r="BX116" s="326"/>
      <c r="BY116" s="326"/>
      <c r="BZ116" s="326"/>
      <c r="CA116" s="326"/>
      <c r="CB116" s="326"/>
      <c r="CC116" s="326"/>
      <c r="CD116" s="326"/>
      <c r="CE116" s="326"/>
      <c r="CF116" s="326"/>
      <c r="CG116" s="326"/>
      <c r="CH116" s="326"/>
    </row>
    <row r="117" spans="1:86" x14ac:dyDescent="0.35">
      <c r="A117" s="64"/>
      <c r="B117" s="64"/>
      <c r="C117" s="64"/>
      <c r="D117" s="64"/>
      <c r="E117" s="64"/>
      <c r="F117" s="64"/>
      <c r="G117" s="64"/>
      <c r="H117" s="64"/>
      <c r="I117" s="64"/>
      <c r="J117" s="64"/>
      <c r="K117" s="64"/>
      <c r="L117" s="64"/>
      <c r="M117" s="64"/>
      <c r="N117" s="64"/>
      <c r="O117" s="64"/>
      <c r="P117" s="64"/>
      <c r="Q117" s="64"/>
      <c r="R117" s="64"/>
      <c r="S117" s="64"/>
      <c r="T117" s="64"/>
      <c r="U117" s="64"/>
      <c r="V117" s="64"/>
      <c r="W117" s="64"/>
      <c r="X117" s="64"/>
      <c r="Y117" s="64"/>
      <c r="Z117" s="326"/>
      <c r="AA117" s="326"/>
      <c r="AB117" s="326"/>
      <c r="AC117" s="326"/>
      <c r="AD117" s="326"/>
      <c r="AE117" s="326"/>
      <c r="AF117" s="326"/>
      <c r="AG117" s="326"/>
      <c r="AH117" s="326"/>
      <c r="AI117" s="326"/>
      <c r="AJ117" s="326"/>
      <c r="AK117" s="326"/>
      <c r="AL117" s="326"/>
      <c r="AM117" s="326"/>
      <c r="AN117" s="326"/>
      <c r="AO117" s="326"/>
      <c r="AP117" s="326"/>
      <c r="AQ117" s="326"/>
      <c r="AR117" s="326"/>
      <c r="AS117" s="326"/>
      <c r="AT117" s="326"/>
      <c r="AU117" s="326"/>
      <c r="AV117" s="326"/>
      <c r="AW117" s="326"/>
      <c r="AX117" s="326"/>
      <c r="AY117" s="326"/>
      <c r="AZ117" s="326"/>
      <c r="BA117" s="326"/>
      <c r="BB117" s="326"/>
      <c r="BC117" s="326"/>
      <c r="BD117" s="326"/>
      <c r="BE117" s="326"/>
      <c r="BF117" s="326"/>
      <c r="BG117" s="326"/>
      <c r="BH117" s="326"/>
      <c r="BI117" s="326"/>
      <c r="BJ117" s="326"/>
      <c r="BK117" s="326"/>
      <c r="BL117" s="326"/>
      <c r="BM117" s="326"/>
      <c r="BN117" s="326"/>
      <c r="BO117" s="326"/>
      <c r="BP117" s="326"/>
      <c r="BQ117" s="326"/>
      <c r="BR117" s="326"/>
      <c r="BS117" s="326"/>
      <c r="BT117" s="326"/>
      <c r="BU117" s="326"/>
      <c r="BV117" s="326"/>
      <c r="BW117" s="326"/>
      <c r="BX117" s="326"/>
      <c r="BY117" s="326"/>
      <c r="BZ117" s="326"/>
      <c r="CA117" s="326"/>
      <c r="CB117" s="326"/>
      <c r="CC117" s="326"/>
      <c r="CD117" s="326"/>
      <c r="CE117" s="326"/>
      <c r="CF117" s="326"/>
      <c r="CG117" s="326"/>
      <c r="CH117" s="326"/>
    </row>
    <row r="118" spans="1:86" x14ac:dyDescent="0.35">
      <c r="A118" s="64"/>
      <c r="B118" s="64"/>
      <c r="C118" s="64"/>
      <c r="D118" s="64"/>
      <c r="E118" s="64"/>
      <c r="F118" s="64"/>
      <c r="G118" s="64"/>
      <c r="H118" s="64"/>
      <c r="I118" s="64"/>
      <c r="J118" s="64"/>
      <c r="K118" s="64"/>
      <c r="L118" s="64"/>
      <c r="M118" s="64"/>
      <c r="N118" s="64"/>
      <c r="O118" s="64"/>
      <c r="P118" s="64"/>
      <c r="Q118" s="64"/>
      <c r="R118" s="64"/>
      <c r="S118" s="64"/>
      <c r="T118" s="64"/>
      <c r="U118" s="64"/>
      <c r="V118" s="64"/>
      <c r="W118" s="64"/>
      <c r="X118" s="64"/>
      <c r="Y118" s="64"/>
      <c r="Z118" s="326"/>
      <c r="AA118" s="326"/>
      <c r="AB118" s="326"/>
      <c r="AC118" s="326"/>
      <c r="AD118" s="326"/>
      <c r="AE118" s="326"/>
      <c r="AF118" s="326"/>
      <c r="AG118" s="326"/>
      <c r="AH118" s="326"/>
      <c r="AI118" s="326"/>
      <c r="AJ118" s="326"/>
      <c r="AK118" s="326"/>
      <c r="AL118" s="326"/>
      <c r="AM118" s="326"/>
      <c r="AN118" s="326"/>
      <c r="AO118" s="326"/>
      <c r="AP118" s="326"/>
      <c r="AQ118" s="326"/>
      <c r="AR118" s="326"/>
      <c r="AS118" s="326"/>
      <c r="AT118" s="326"/>
      <c r="AU118" s="326"/>
      <c r="AV118" s="326"/>
      <c r="AW118" s="326"/>
      <c r="AX118" s="326"/>
      <c r="AY118" s="326"/>
      <c r="AZ118" s="326"/>
      <c r="BA118" s="326"/>
      <c r="BB118" s="326"/>
      <c r="BC118" s="326"/>
      <c r="BD118" s="326"/>
      <c r="BE118" s="326"/>
      <c r="BF118" s="326"/>
      <c r="BG118" s="326"/>
      <c r="BH118" s="326"/>
      <c r="BI118" s="326"/>
      <c r="BJ118" s="326"/>
      <c r="BK118" s="326"/>
      <c r="BL118" s="326"/>
      <c r="BM118" s="326"/>
      <c r="BN118" s="326"/>
      <c r="BO118" s="326"/>
      <c r="BP118" s="326"/>
      <c r="BQ118" s="326"/>
      <c r="BR118" s="326"/>
      <c r="BS118" s="326"/>
      <c r="BT118" s="326"/>
      <c r="BU118" s="326"/>
      <c r="BV118" s="326"/>
      <c r="BW118" s="326"/>
      <c r="BX118" s="326"/>
      <c r="BY118" s="326"/>
      <c r="BZ118" s="326"/>
      <c r="CA118" s="326"/>
      <c r="CB118" s="326"/>
      <c r="CC118" s="326"/>
      <c r="CD118" s="326"/>
      <c r="CE118" s="326"/>
      <c r="CF118" s="326"/>
      <c r="CG118" s="326"/>
      <c r="CH118" s="326"/>
    </row>
    <row r="119" spans="1:86" x14ac:dyDescent="0.35">
      <c r="A119" s="64"/>
      <c r="B119" s="64"/>
      <c r="C119" s="64"/>
      <c r="D119" s="64"/>
      <c r="E119" s="64"/>
      <c r="F119" s="64"/>
      <c r="G119" s="64"/>
      <c r="H119" s="64"/>
      <c r="I119" s="64"/>
      <c r="J119" s="64"/>
      <c r="K119" s="64"/>
      <c r="L119" s="64"/>
      <c r="M119" s="64"/>
      <c r="N119" s="64"/>
      <c r="O119" s="64"/>
      <c r="P119" s="64"/>
      <c r="Q119" s="64"/>
      <c r="R119" s="64"/>
      <c r="S119" s="64"/>
      <c r="T119" s="64"/>
      <c r="U119" s="64"/>
      <c r="V119" s="64"/>
      <c r="W119" s="64"/>
      <c r="X119" s="64"/>
      <c r="Y119" s="64"/>
      <c r="Z119" s="326"/>
      <c r="AA119" s="326"/>
      <c r="AB119" s="326"/>
      <c r="AC119" s="326"/>
      <c r="AD119" s="326"/>
      <c r="AE119" s="326"/>
      <c r="AF119" s="326"/>
      <c r="AG119" s="326"/>
      <c r="AH119" s="326"/>
      <c r="AI119" s="326"/>
      <c r="AJ119" s="326"/>
      <c r="AK119" s="326"/>
      <c r="AL119" s="326"/>
      <c r="AM119" s="326"/>
      <c r="AN119" s="326"/>
      <c r="AO119" s="326"/>
      <c r="AP119" s="326"/>
      <c r="AQ119" s="326"/>
      <c r="AR119" s="326"/>
      <c r="AS119" s="326"/>
      <c r="AT119" s="326"/>
      <c r="AU119" s="326"/>
      <c r="AV119" s="326"/>
      <c r="AW119" s="326"/>
      <c r="AX119" s="326"/>
      <c r="AY119" s="326"/>
      <c r="AZ119" s="326"/>
      <c r="BA119" s="326"/>
      <c r="BB119" s="326"/>
      <c r="BC119" s="326"/>
      <c r="BD119" s="326"/>
      <c r="BE119" s="326"/>
      <c r="BF119" s="326"/>
      <c r="BG119" s="326"/>
      <c r="BH119" s="326"/>
      <c r="BI119" s="326"/>
      <c r="BJ119" s="326"/>
      <c r="BK119" s="326"/>
      <c r="BL119" s="326"/>
      <c r="BM119" s="326"/>
      <c r="BN119" s="326"/>
      <c r="BO119" s="326"/>
      <c r="BP119" s="326"/>
      <c r="BQ119" s="326"/>
      <c r="BR119" s="326"/>
      <c r="BS119" s="326"/>
      <c r="BT119" s="326"/>
      <c r="BU119" s="326"/>
      <c r="BV119" s="326"/>
      <c r="BW119" s="326"/>
      <c r="BX119" s="326"/>
      <c r="BY119" s="326"/>
      <c r="BZ119" s="326"/>
      <c r="CA119" s="326"/>
      <c r="CB119" s="326"/>
      <c r="CC119" s="326"/>
      <c r="CD119" s="326"/>
      <c r="CE119" s="326"/>
      <c r="CF119" s="326"/>
      <c r="CG119" s="326"/>
      <c r="CH119" s="326"/>
    </row>
    <row r="120" spans="1:86" x14ac:dyDescent="0.35">
      <c r="A120" s="64"/>
      <c r="B120" s="64"/>
      <c r="C120" s="64"/>
      <c r="D120" s="64"/>
      <c r="E120" s="64"/>
      <c r="F120" s="64"/>
      <c r="G120" s="64"/>
      <c r="H120" s="64"/>
      <c r="I120" s="64"/>
      <c r="J120" s="64"/>
      <c r="K120" s="64"/>
      <c r="L120" s="64"/>
      <c r="M120" s="64"/>
      <c r="N120" s="64"/>
      <c r="O120" s="64"/>
      <c r="P120" s="64"/>
      <c r="Q120" s="64"/>
      <c r="R120" s="64"/>
      <c r="S120" s="64"/>
      <c r="T120" s="64"/>
      <c r="U120" s="64"/>
      <c r="V120" s="64"/>
      <c r="W120" s="64"/>
      <c r="X120" s="64"/>
      <c r="Y120" s="64"/>
      <c r="Z120" s="326"/>
      <c r="AA120" s="326"/>
      <c r="AB120" s="326"/>
      <c r="AC120" s="326"/>
      <c r="AD120" s="326"/>
      <c r="AE120" s="326"/>
      <c r="AF120" s="326"/>
      <c r="AG120" s="326"/>
      <c r="AH120" s="326"/>
      <c r="AI120" s="326"/>
      <c r="AJ120" s="326"/>
      <c r="AK120" s="326"/>
      <c r="AL120" s="326"/>
      <c r="AM120" s="326"/>
      <c r="AN120" s="326"/>
      <c r="AO120" s="326"/>
      <c r="AP120" s="326"/>
      <c r="AQ120" s="326"/>
      <c r="AR120" s="326"/>
      <c r="AS120" s="326"/>
      <c r="AT120" s="326"/>
      <c r="AU120" s="326"/>
      <c r="AV120" s="326"/>
      <c r="AW120" s="326"/>
      <c r="AX120" s="326"/>
      <c r="AY120" s="326"/>
      <c r="AZ120" s="326"/>
      <c r="BA120" s="326"/>
      <c r="BB120" s="326"/>
      <c r="BC120" s="326"/>
      <c r="BD120" s="326"/>
      <c r="BE120" s="326"/>
      <c r="BF120" s="326"/>
      <c r="BG120" s="326"/>
      <c r="BH120" s="326"/>
      <c r="BI120" s="326"/>
      <c r="BJ120" s="326"/>
      <c r="BK120" s="326"/>
      <c r="BL120" s="326"/>
      <c r="BM120" s="326"/>
      <c r="BN120" s="326"/>
      <c r="BO120" s="326"/>
      <c r="BP120" s="326"/>
      <c r="BQ120" s="326"/>
      <c r="BR120" s="326"/>
      <c r="BS120" s="326"/>
      <c r="BT120" s="326"/>
      <c r="BU120" s="326"/>
      <c r="BV120" s="326"/>
      <c r="BW120" s="326"/>
      <c r="BX120" s="326"/>
      <c r="BY120" s="326"/>
      <c r="BZ120" s="326"/>
      <c r="CA120" s="326"/>
      <c r="CB120" s="326"/>
      <c r="CC120" s="326"/>
      <c r="CD120" s="326"/>
      <c r="CE120" s="326"/>
      <c r="CF120" s="326"/>
      <c r="CG120" s="326"/>
      <c r="CH120" s="326"/>
    </row>
    <row r="121" spans="1:86" x14ac:dyDescent="0.35">
      <c r="A121" s="64"/>
      <c r="B121" s="64"/>
      <c r="C121" s="64"/>
      <c r="D121" s="64"/>
      <c r="E121" s="64"/>
      <c r="F121" s="64"/>
      <c r="G121" s="64"/>
      <c r="H121" s="64"/>
      <c r="I121" s="64"/>
      <c r="J121" s="64"/>
      <c r="K121" s="64"/>
      <c r="L121" s="64"/>
      <c r="M121" s="64"/>
      <c r="N121" s="64"/>
      <c r="O121" s="64"/>
      <c r="P121" s="64"/>
      <c r="Q121" s="64"/>
      <c r="R121" s="64"/>
      <c r="S121" s="64"/>
      <c r="T121" s="64"/>
      <c r="U121" s="64"/>
      <c r="V121" s="64"/>
      <c r="W121" s="64"/>
      <c r="X121" s="64"/>
      <c r="Y121" s="64"/>
      <c r="Z121" s="326"/>
      <c r="AA121" s="326"/>
      <c r="AB121" s="326"/>
      <c r="AC121" s="326"/>
      <c r="AD121" s="326"/>
      <c r="AE121" s="326"/>
      <c r="AF121" s="326"/>
      <c r="AG121" s="326"/>
      <c r="AH121" s="326"/>
      <c r="AI121" s="326"/>
      <c r="AJ121" s="326"/>
      <c r="AK121" s="326"/>
      <c r="AL121" s="326"/>
      <c r="AM121" s="326"/>
      <c r="AN121" s="326"/>
      <c r="AO121" s="326"/>
      <c r="AP121" s="326"/>
      <c r="AQ121" s="326"/>
      <c r="AR121" s="326"/>
      <c r="AS121" s="326"/>
      <c r="AT121" s="326"/>
      <c r="AU121" s="326"/>
      <c r="AV121" s="326"/>
      <c r="AW121" s="326"/>
      <c r="AX121" s="326"/>
      <c r="AY121" s="326"/>
      <c r="AZ121" s="326"/>
      <c r="BA121" s="326"/>
      <c r="BB121" s="326"/>
      <c r="BC121" s="326"/>
      <c r="BD121" s="326"/>
      <c r="BE121" s="326"/>
      <c r="BF121" s="326"/>
      <c r="BG121" s="326"/>
      <c r="BH121" s="326"/>
      <c r="BI121" s="326"/>
      <c r="BJ121" s="326"/>
      <c r="BK121" s="326"/>
      <c r="BL121" s="326"/>
      <c r="BM121" s="326"/>
      <c r="BN121" s="326"/>
      <c r="BO121" s="326"/>
      <c r="BP121" s="326"/>
      <c r="BQ121" s="326"/>
      <c r="BR121" s="326"/>
      <c r="BS121" s="326"/>
      <c r="BT121" s="326"/>
      <c r="BU121" s="326"/>
      <c r="BV121" s="326"/>
      <c r="BW121" s="326"/>
      <c r="BX121" s="326"/>
      <c r="BY121" s="326"/>
      <c r="BZ121" s="326"/>
      <c r="CA121" s="326"/>
      <c r="CB121" s="326"/>
      <c r="CC121" s="326"/>
      <c r="CD121" s="326"/>
      <c r="CE121" s="326"/>
      <c r="CF121" s="326"/>
      <c r="CG121" s="326"/>
      <c r="CH121" s="326"/>
    </row>
    <row r="122" spans="1:86" x14ac:dyDescent="0.35">
      <c r="A122" s="64"/>
      <c r="B122" s="64"/>
      <c r="C122" s="64"/>
      <c r="D122" s="64"/>
      <c r="E122" s="64"/>
      <c r="F122" s="64"/>
      <c r="G122" s="64"/>
      <c r="H122" s="64"/>
      <c r="I122" s="64"/>
      <c r="J122" s="64"/>
      <c r="K122" s="64"/>
      <c r="L122" s="64"/>
      <c r="M122" s="64"/>
      <c r="N122" s="64"/>
      <c r="O122" s="64"/>
      <c r="P122" s="64"/>
      <c r="Q122" s="64"/>
      <c r="R122" s="64"/>
      <c r="S122" s="64"/>
      <c r="T122" s="64"/>
      <c r="U122" s="64"/>
      <c r="V122" s="64"/>
      <c r="W122" s="64"/>
      <c r="X122" s="64"/>
      <c r="Y122" s="64"/>
      <c r="Z122" s="326"/>
      <c r="AA122" s="326"/>
      <c r="AB122" s="326"/>
      <c r="AC122" s="326"/>
      <c r="AD122" s="326"/>
      <c r="AE122" s="326"/>
      <c r="AF122" s="326"/>
      <c r="AG122" s="326"/>
      <c r="AH122" s="326"/>
      <c r="AI122" s="326"/>
      <c r="AJ122" s="326"/>
      <c r="AK122" s="326"/>
      <c r="AL122" s="326"/>
      <c r="AM122" s="326"/>
      <c r="AN122" s="326"/>
      <c r="AO122" s="326"/>
      <c r="AP122" s="326"/>
      <c r="AQ122" s="326"/>
      <c r="AR122" s="326"/>
      <c r="AS122" s="326"/>
      <c r="AT122" s="326"/>
      <c r="AU122" s="326"/>
      <c r="AV122" s="326"/>
      <c r="AW122" s="326"/>
      <c r="AX122" s="326"/>
      <c r="AY122" s="326"/>
      <c r="AZ122" s="326"/>
      <c r="BA122" s="326"/>
      <c r="BB122" s="326"/>
      <c r="BC122" s="326"/>
      <c r="BD122" s="326"/>
      <c r="BE122" s="326"/>
      <c r="BF122" s="326"/>
      <c r="BG122" s="326"/>
      <c r="BH122" s="326"/>
      <c r="BI122" s="326"/>
      <c r="BJ122" s="326"/>
      <c r="BK122" s="326"/>
      <c r="BL122" s="326"/>
      <c r="BM122" s="326"/>
      <c r="BN122" s="326"/>
      <c r="BO122" s="326"/>
      <c r="BP122" s="326"/>
      <c r="BQ122" s="326"/>
      <c r="BR122" s="326"/>
      <c r="BS122" s="326"/>
      <c r="BT122" s="326"/>
      <c r="BU122" s="326"/>
      <c r="BV122" s="326"/>
      <c r="BW122" s="326"/>
      <c r="BX122" s="326"/>
      <c r="BY122" s="326"/>
      <c r="BZ122" s="326"/>
      <c r="CA122" s="326"/>
      <c r="CB122" s="326"/>
      <c r="CC122" s="326"/>
      <c r="CD122" s="326"/>
      <c r="CE122" s="326"/>
      <c r="CF122" s="326"/>
      <c r="CG122" s="326"/>
      <c r="CH122" s="326"/>
    </row>
    <row r="123" spans="1:86" x14ac:dyDescent="0.35">
      <c r="A123" s="64"/>
      <c r="B123" s="64"/>
      <c r="C123" s="64"/>
      <c r="D123" s="64"/>
      <c r="E123" s="64"/>
      <c r="F123" s="64"/>
      <c r="G123" s="64"/>
      <c r="H123" s="64"/>
      <c r="I123" s="64"/>
      <c r="J123" s="64"/>
      <c r="K123" s="64"/>
      <c r="L123" s="64"/>
      <c r="M123" s="64"/>
      <c r="N123" s="64"/>
      <c r="O123" s="64"/>
      <c r="P123" s="64"/>
      <c r="Q123" s="64"/>
      <c r="R123" s="64"/>
      <c r="S123" s="64"/>
      <c r="T123" s="64"/>
      <c r="U123" s="64"/>
      <c r="V123" s="64"/>
      <c r="W123" s="64"/>
      <c r="X123" s="64"/>
      <c r="Y123" s="64"/>
      <c r="Z123" s="326"/>
      <c r="AA123" s="326"/>
      <c r="AB123" s="326"/>
      <c r="AC123" s="326"/>
      <c r="AD123" s="326"/>
      <c r="AE123" s="326"/>
      <c r="AF123" s="326"/>
      <c r="AG123" s="326"/>
      <c r="AH123" s="326"/>
      <c r="AI123" s="326"/>
      <c r="AJ123" s="326"/>
      <c r="AK123" s="326"/>
      <c r="AL123" s="326"/>
      <c r="AM123" s="326"/>
      <c r="AN123" s="326"/>
      <c r="AO123" s="326"/>
      <c r="AP123" s="326"/>
      <c r="AQ123" s="326"/>
      <c r="AR123" s="326"/>
      <c r="AS123" s="326"/>
      <c r="AT123" s="326"/>
      <c r="AU123" s="326"/>
      <c r="AV123" s="326"/>
      <c r="AW123" s="326"/>
      <c r="AX123" s="326"/>
      <c r="AY123" s="326"/>
      <c r="AZ123" s="326"/>
      <c r="BA123" s="326"/>
      <c r="BB123" s="326"/>
      <c r="BC123" s="326"/>
      <c r="BD123" s="326"/>
      <c r="BE123" s="326"/>
      <c r="BF123" s="326"/>
      <c r="BG123" s="326"/>
      <c r="BH123" s="326"/>
      <c r="BI123" s="326"/>
      <c r="BJ123" s="326"/>
      <c r="BK123" s="326"/>
      <c r="BL123" s="326"/>
      <c r="BM123" s="326"/>
      <c r="BN123" s="326"/>
      <c r="BO123" s="326"/>
      <c r="BP123" s="326"/>
      <c r="BQ123" s="326"/>
      <c r="BR123" s="326"/>
      <c r="BS123" s="326"/>
      <c r="BT123" s="326"/>
      <c r="BU123" s="326"/>
      <c r="BV123" s="326"/>
      <c r="BW123" s="326"/>
      <c r="BX123" s="326"/>
      <c r="BY123" s="326"/>
      <c r="BZ123" s="326"/>
      <c r="CA123" s="326"/>
      <c r="CB123" s="326"/>
      <c r="CC123" s="326"/>
      <c r="CD123" s="326"/>
      <c r="CE123" s="326"/>
      <c r="CF123" s="326"/>
      <c r="CG123" s="326"/>
      <c r="CH123" s="326"/>
    </row>
    <row r="124" spans="1:86" x14ac:dyDescent="0.35">
      <c r="A124" s="64"/>
      <c r="B124" s="64"/>
      <c r="C124" s="64"/>
      <c r="D124" s="64"/>
      <c r="E124" s="64"/>
      <c r="F124" s="64"/>
      <c r="G124" s="64"/>
      <c r="H124" s="64"/>
      <c r="I124" s="64"/>
      <c r="J124" s="64"/>
      <c r="K124" s="64"/>
      <c r="L124" s="64"/>
      <c r="M124" s="64"/>
      <c r="N124" s="64"/>
      <c r="O124" s="64"/>
      <c r="P124" s="64"/>
      <c r="Q124" s="64"/>
      <c r="R124" s="64"/>
      <c r="S124" s="64"/>
      <c r="T124" s="64"/>
      <c r="U124" s="64"/>
      <c r="V124" s="64"/>
      <c r="W124" s="64"/>
      <c r="X124" s="64"/>
      <c r="Y124" s="64"/>
      <c r="Z124" s="326"/>
      <c r="AA124" s="326"/>
      <c r="AB124" s="326"/>
      <c r="AC124" s="326"/>
      <c r="AD124" s="326"/>
      <c r="AE124" s="326"/>
      <c r="AF124" s="326"/>
      <c r="AG124" s="326"/>
      <c r="AH124" s="326"/>
      <c r="AI124" s="326"/>
      <c r="AJ124" s="326"/>
      <c r="AK124" s="326"/>
      <c r="AL124" s="326"/>
      <c r="AM124" s="326"/>
      <c r="AN124" s="326"/>
      <c r="AO124" s="326"/>
      <c r="AP124" s="326"/>
      <c r="AQ124" s="326"/>
      <c r="AR124" s="326"/>
      <c r="AS124" s="326"/>
      <c r="AT124" s="326"/>
      <c r="AU124" s="326"/>
      <c r="AV124" s="326"/>
      <c r="AW124" s="326"/>
      <c r="AX124" s="326"/>
      <c r="AY124" s="326"/>
      <c r="AZ124" s="326"/>
      <c r="BA124" s="326"/>
      <c r="BB124" s="326"/>
      <c r="BC124" s="326"/>
      <c r="BD124" s="326"/>
      <c r="BE124" s="326"/>
      <c r="BF124" s="326"/>
      <c r="BG124" s="326"/>
      <c r="BH124" s="326"/>
      <c r="BI124" s="326"/>
      <c r="BJ124" s="326"/>
      <c r="BK124" s="326"/>
      <c r="BL124" s="326"/>
      <c r="BM124" s="326"/>
      <c r="BN124" s="326"/>
      <c r="BO124" s="326"/>
      <c r="BP124" s="326"/>
      <c r="BQ124" s="326"/>
      <c r="BR124" s="326"/>
      <c r="BS124" s="326"/>
      <c r="BT124" s="326"/>
      <c r="BU124" s="326"/>
      <c r="BV124" s="326"/>
      <c r="BW124" s="326"/>
      <c r="BX124" s="326"/>
      <c r="BY124" s="326"/>
      <c r="BZ124" s="326"/>
      <c r="CA124" s="326"/>
      <c r="CB124" s="326"/>
      <c r="CC124" s="326"/>
      <c r="CD124" s="326"/>
      <c r="CE124" s="326"/>
      <c r="CF124" s="326"/>
      <c r="CG124" s="326"/>
      <c r="CH124" s="326"/>
    </row>
    <row r="125" spans="1:86" x14ac:dyDescent="0.35">
      <c r="A125" s="64"/>
      <c r="B125" s="13"/>
      <c r="C125" s="13"/>
      <c r="D125" s="13"/>
      <c r="E125" s="13"/>
      <c r="F125" s="13"/>
      <c r="G125" s="13"/>
      <c r="H125" s="64"/>
      <c r="I125" s="64"/>
      <c r="J125" s="64"/>
      <c r="K125" s="64"/>
      <c r="L125" s="64"/>
      <c r="M125" s="64"/>
      <c r="N125" s="64"/>
      <c r="O125" s="64"/>
      <c r="P125" s="64"/>
      <c r="Q125" s="64"/>
      <c r="R125" s="64"/>
      <c r="S125" s="64"/>
      <c r="T125" s="64"/>
      <c r="U125" s="64"/>
      <c r="V125" s="64"/>
      <c r="W125" s="64"/>
      <c r="X125" s="64"/>
      <c r="Y125" s="64"/>
      <c r="Z125" s="326"/>
      <c r="AA125" s="326"/>
      <c r="AB125" s="326"/>
      <c r="AC125" s="326"/>
      <c r="AD125" s="326"/>
      <c r="AE125" s="326"/>
      <c r="AF125" s="326"/>
      <c r="AG125" s="326"/>
      <c r="AH125" s="326"/>
      <c r="AI125" s="326"/>
      <c r="AJ125" s="326"/>
      <c r="AK125" s="326"/>
      <c r="AL125" s="326"/>
      <c r="AM125" s="326"/>
      <c r="AN125" s="326"/>
      <c r="AO125" s="326"/>
      <c r="AP125" s="326"/>
      <c r="AQ125" s="326"/>
      <c r="AR125" s="326"/>
      <c r="AS125" s="326"/>
      <c r="AT125" s="326"/>
      <c r="AU125" s="326"/>
      <c r="AV125" s="326"/>
      <c r="AW125" s="326"/>
      <c r="AX125" s="326"/>
      <c r="AY125" s="326"/>
      <c r="AZ125" s="326"/>
      <c r="BA125" s="326"/>
      <c r="BB125" s="326"/>
      <c r="BC125" s="326"/>
      <c r="BD125" s="326"/>
      <c r="BE125" s="326"/>
      <c r="BF125" s="326"/>
      <c r="BG125" s="326"/>
      <c r="BH125" s="326"/>
      <c r="BI125" s="326"/>
      <c r="BJ125" s="326"/>
      <c r="BK125" s="326"/>
      <c r="BL125" s="326"/>
      <c r="BM125" s="326"/>
      <c r="BN125" s="326"/>
      <c r="BO125" s="326"/>
      <c r="BP125" s="326"/>
      <c r="BQ125" s="326"/>
      <c r="BR125" s="326"/>
      <c r="BS125" s="326"/>
      <c r="BT125" s="326"/>
      <c r="BU125" s="326"/>
      <c r="BV125" s="326"/>
      <c r="BW125" s="326"/>
      <c r="BX125" s="326"/>
      <c r="BY125" s="326"/>
      <c r="BZ125" s="326"/>
      <c r="CA125" s="326"/>
      <c r="CB125" s="326"/>
      <c r="CC125" s="326"/>
      <c r="CD125" s="326"/>
      <c r="CE125" s="326"/>
      <c r="CF125" s="326"/>
      <c r="CG125" s="326"/>
      <c r="CH125" s="326"/>
    </row>
    <row r="126" spans="1:86" x14ac:dyDescent="0.35">
      <c r="A126" s="64"/>
      <c r="B126" s="1"/>
      <c r="C126" s="1"/>
      <c r="D126" s="1"/>
      <c r="E126" s="1"/>
      <c r="F126" s="1"/>
      <c r="G126" s="1"/>
      <c r="H126" s="64"/>
      <c r="I126" s="64"/>
      <c r="J126" s="64"/>
      <c r="K126" s="64"/>
      <c r="L126" s="64"/>
      <c r="M126" s="64"/>
      <c r="N126" s="64"/>
      <c r="O126" s="64"/>
      <c r="P126" s="64"/>
      <c r="Q126" s="64"/>
      <c r="R126" s="64"/>
      <c r="S126" s="64"/>
      <c r="T126" s="64"/>
      <c r="U126" s="64"/>
      <c r="V126" s="64"/>
      <c r="W126" s="64"/>
      <c r="X126" s="64"/>
      <c r="Y126" s="64"/>
      <c r="Z126" s="326"/>
      <c r="AA126" s="326"/>
      <c r="AB126" s="326"/>
      <c r="AC126" s="326"/>
      <c r="AD126" s="326"/>
      <c r="AE126" s="326"/>
      <c r="AF126" s="326"/>
      <c r="AG126" s="326"/>
      <c r="AH126" s="326"/>
      <c r="AI126" s="326"/>
      <c r="AJ126" s="326"/>
      <c r="AK126" s="326"/>
      <c r="AL126" s="326"/>
      <c r="AM126" s="326"/>
      <c r="AN126" s="326"/>
      <c r="AO126" s="326"/>
      <c r="AP126" s="326"/>
      <c r="AQ126" s="326"/>
      <c r="AR126" s="326"/>
      <c r="AS126" s="326"/>
      <c r="AT126" s="326"/>
      <c r="AU126" s="326"/>
      <c r="AV126" s="326"/>
      <c r="AW126" s="326"/>
      <c r="AX126" s="326"/>
      <c r="AY126" s="326"/>
      <c r="AZ126" s="326"/>
      <c r="BA126" s="326"/>
      <c r="BB126" s="326"/>
      <c r="BC126" s="326"/>
      <c r="BD126" s="326"/>
      <c r="BE126" s="326"/>
      <c r="BF126" s="326"/>
      <c r="BG126" s="326"/>
      <c r="BH126" s="326"/>
      <c r="BI126" s="326"/>
      <c r="BJ126" s="326"/>
      <c r="BK126" s="326"/>
      <c r="BL126" s="326"/>
      <c r="BM126" s="326"/>
      <c r="BN126" s="326"/>
      <c r="BO126" s="326"/>
      <c r="BP126" s="326"/>
      <c r="BQ126" s="326"/>
      <c r="BR126" s="326"/>
      <c r="BS126" s="326"/>
      <c r="BT126" s="326"/>
      <c r="BU126" s="326"/>
      <c r="BV126" s="326"/>
      <c r="BW126" s="326"/>
      <c r="BX126" s="326"/>
      <c r="BY126" s="326"/>
      <c r="BZ126" s="326"/>
      <c r="CA126" s="326"/>
      <c r="CB126" s="326"/>
      <c r="CC126" s="326"/>
      <c r="CD126" s="326"/>
      <c r="CE126" s="326"/>
      <c r="CF126" s="326"/>
      <c r="CG126" s="326"/>
      <c r="CH126" s="326"/>
    </row>
    <row r="127" spans="1:86" x14ac:dyDescent="0.35">
      <c r="A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326"/>
      <c r="AA127" s="326"/>
      <c r="AB127" s="326"/>
      <c r="AC127" s="326"/>
      <c r="AD127" s="326"/>
      <c r="AE127" s="326"/>
      <c r="AF127" s="326"/>
      <c r="AG127" s="326"/>
      <c r="AH127" s="326"/>
      <c r="AI127" s="326"/>
      <c r="AJ127" s="326"/>
      <c r="AK127" s="326"/>
      <c r="AL127" s="326"/>
      <c r="AM127" s="326"/>
      <c r="AN127" s="326"/>
      <c r="AO127" s="326"/>
      <c r="AP127" s="326"/>
      <c r="AQ127" s="326"/>
      <c r="AR127" s="326"/>
      <c r="AS127" s="326"/>
      <c r="AT127" s="326"/>
      <c r="AU127" s="326"/>
      <c r="AV127" s="326"/>
      <c r="AW127" s="326"/>
      <c r="AX127" s="326"/>
      <c r="AY127" s="326"/>
      <c r="AZ127" s="326"/>
      <c r="BA127" s="326"/>
      <c r="BB127" s="326"/>
      <c r="BC127" s="326"/>
      <c r="BD127" s="326"/>
      <c r="BE127" s="326"/>
      <c r="BF127" s="326"/>
      <c r="BG127" s="326"/>
      <c r="BH127" s="326"/>
      <c r="BI127" s="326"/>
      <c r="BJ127" s="326"/>
      <c r="BK127" s="326"/>
      <c r="BL127" s="326"/>
      <c r="BM127" s="326"/>
      <c r="BN127" s="326"/>
      <c r="BO127" s="326"/>
      <c r="BP127" s="326"/>
      <c r="BQ127" s="326"/>
      <c r="BR127" s="326"/>
      <c r="BS127" s="326"/>
      <c r="BT127" s="326"/>
      <c r="BU127" s="326"/>
      <c r="BV127" s="326"/>
      <c r="BW127" s="326"/>
      <c r="BX127" s="326"/>
      <c r="BY127" s="326"/>
      <c r="BZ127" s="326"/>
      <c r="CA127" s="326"/>
      <c r="CB127" s="326"/>
      <c r="CC127" s="326"/>
      <c r="CD127" s="326"/>
      <c r="CE127" s="326"/>
      <c r="CF127" s="326"/>
      <c r="CG127" s="326"/>
      <c r="CH127" s="326"/>
    </row>
    <row r="128" spans="1:86" x14ac:dyDescent="0.35">
      <c r="A128" s="1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326"/>
      <c r="AA128" s="326"/>
      <c r="AB128" s="326"/>
      <c r="AC128" s="326"/>
      <c r="AD128" s="326"/>
      <c r="AE128" s="326"/>
      <c r="AF128" s="326"/>
      <c r="AG128" s="326"/>
      <c r="AH128" s="326"/>
      <c r="AI128" s="326"/>
      <c r="AJ128" s="326"/>
      <c r="AK128" s="326"/>
      <c r="AL128" s="326"/>
      <c r="AM128" s="326"/>
      <c r="AN128" s="326"/>
      <c r="AO128" s="326"/>
      <c r="AP128" s="326"/>
      <c r="AQ128" s="326"/>
      <c r="AR128" s="326"/>
      <c r="AS128" s="326"/>
      <c r="AT128" s="326"/>
      <c r="AU128" s="326"/>
      <c r="AV128" s="326"/>
      <c r="AW128" s="326"/>
      <c r="AX128" s="326"/>
      <c r="AY128" s="326"/>
      <c r="AZ128" s="326"/>
      <c r="BA128" s="326"/>
      <c r="BB128" s="326"/>
      <c r="BC128" s="326"/>
      <c r="BD128" s="326"/>
      <c r="BE128" s="326"/>
      <c r="BF128" s="326"/>
      <c r="BG128" s="326"/>
      <c r="BH128" s="326"/>
      <c r="BI128" s="326"/>
      <c r="BJ128" s="326"/>
      <c r="BK128" s="326"/>
      <c r="BL128" s="326"/>
      <c r="BM128" s="326"/>
      <c r="BN128" s="326"/>
      <c r="BO128" s="326"/>
      <c r="BP128" s="326"/>
      <c r="BQ128" s="326"/>
      <c r="BR128" s="326"/>
      <c r="BS128" s="326"/>
      <c r="BT128" s="326"/>
      <c r="BU128" s="326"/>
      <c r="BV128" s="326"/>
      <c r="BW128" s="326"/>
      <c r="BX128" s="326"/>
      <c r="BY128" s="326"/>
      <c r="BZ128" s="326"/>
      <c r="CA128" s="326"/>
      <c r="CB128" s="326"/>
      <c r="CC128" s="326"/>
      <c r="CD128" s="326"/>
      <c r="CE128" s="326"/>
      <c r="CF128" s="326"/>
      <c r="CG128" s="326"/>
      <c r="CH128" s="326"/>
    </row>
    <row r="129" spans="26:86" x14ac:dyDescent="0.35">
      <c r="Z129" s="326"/>
      <c r="AA129" s="326"/>
      <c r="AB129" s="326"/>
      <c r="AC129" s="326"/>
      <c r="AD129" s="326"/>
      <c r="AE129" s="326"/>
      <c r="AF129" s="326"/>
      <c r="AG129" s="326"/>
      <c r="AH129" s="326"/>
      <c r="AI129" s="326"/>
      <c r="AJ129" s="326"/>
      <c r="AK129" s="326"/>
      <c r="AL129" s="326"/>
      <c r="AM129" s="326"/>
      <c r="AN129" s="326"/>
      <c r="AO129" s="326"/>
      <c r="AP129" s="326"/>
      <c r="AQ129" s="326"/>
      <c r="AR129" s="326"/>
      <c r="AS129" s="326"/>
      <c r="AT129" s="326"/>
      <c r="AU129" s="326"/>
      <c r="AV129" s="326"/>
      <c r="AW129" s="326"/>
      <c r="AX129" s="326"/>
      <c r="AY129" s="326"/>
      <c r="AZ129" s="326"/>
      <c r="BA129" s="326"/>
      <c r="BB129" s="326"/>
      <c r="BC129" s="326"/>
      <c r="BD129" s="326"/>
      <c r="BE129" s="326"/>
      <c r="BF129" s="326"/>
      <c r="BG129" s="326"/>
      <c r="BH129" s="326"/>
      <c r="BI129" s="326"/>
      <c r="BJ129" s="326"/>
      <c r="BK129" s="326"/>
      <c r="BL129" s="326"/>
      <c r="BM129" s="326"/>
      <c r="BN129" s="326"/>
      <c r="BO129" s="326"/>
      <c r="BP129" s="326"/>
      <c r="BQ129" s="326"/>
      <c r="BR129" s="326"/>
      <c r="BS129" s="326"/>
      <c r="BT129" s="326"/>
      <c r="BU129" s="326"/>
      <c r="BV129" s="326"/>
      <c r="BW129" s="326"/>
      <c r="BX129" s="326"/>
      <c r="BY129" s="326"/>
      <c r="BZ129" s="326"/>
      <c r="CA129" s="326"/>
      <c r="CB129" s="326"/>
      <c r="CC129" s="326"/>
      <c r="CD129" s="326"/>
      <c r="CE129" s="326"/>
      <c r="CF129" s="326"/>
      <c r="CG129" s="326"/>
      <c r="CH129" s="326"/>
    </row>
    <row r="130" spans="26:86" x14ac:dyDescent="0.35">
      <c r="Z130" s="326"/>
      <c r="AA130" s="326"/>
      <c r="AB130" s="326"/>
      <c r="AC130" s="326"/>
      <c r="AD130" s="326"/>
      <c r="AE130" s="326"/>
      <c r="AF130" s="326"/>
      <c r="AG130" s="326"/>
      <c r="AH130" s="326"/>
      <c r="AI130" s="326"/>
      <c r="AJ130" s="326"/>
      <c r="AK130" s="326"/>
      <c r="AL130" s="326"/>
      <c r="AM130" s="326"/>
      <c r="AN130" s="326"/>
      <c r="AO130" s="326"/>
      <c r="AP130" s="326"/>
      <c r="AQ130" s="326"/>
      <c r="AR130" s="326"/>
      <c r="AS130" s="326"/>
      <c r="AT130" s="326"/>
      <c r="AU130" s="326"/>
      <c r="AV130" s="326"/>
      <c r="AW130" s="326"/>
      <c r="AX130" s="326"/>
      <c r="AY130" s="326"/>
      <c r="AZ130" s="326"/>
      <c r="BA130" s="326"/>
      <c r="BB130" s="326"/>
      <c r="BC130" s="326"/>
      <c r="BD130" s="326"/>
      <c r="BE130" s="326"/>
      <c r="BF130" s="326"/>
      <c r="BG130" s="326"/>
      <c r="BH130" s="326"/>
      <c r="BI130" s="326"/>
      <c r="BJ130" s="326"/>
      <c r="BK130" s="326"/>
      <c r="BL130" s="326"/>
      <c r="BM130" s="326"/>
      <c r="BN130" s="326"/>
      <c r="BO130" s="326"/>
      <c r="BP130" s="326"/>
      <c r="BQ130" s="326"/>
      <c r="BR130" s="326"/>
      <c r="BS130" s="326"/>
      <c r="BT130" s="326"/>
      <c r="BU130" s="326"/>
      <c r="BV130" s="326"/>
      <c r="BW130" s="326"/>
      <c r="BX130" s="326"/>
      <c r="BY130" s="326"/>
      <c r="BZ130" s="326"/>
      <c r="CA130" s="326"/>
      <c r="CB130" s="326"/>
      <c r="CC130" s="326"/>
      <c r="CD130" s="326"/>
      <c r="CE130" s="326"/>
      <c r="CF130" s="326"/>
      <c r="CG130" s="326"/>
      <c r="CH130" s="326"/>
    </row>
    <row r="131" spans="26:86" x14ac:dyDescent="0.35">
      <c r="Z131" s="326"/>
      <c r="AA131" s="326"/>
      <c r="AB131" s="326"/>
      <c r="AC131" s="326"/>
      <c r="AD131" s="326"/>
      <c r="AE131" s="326"/>
      <c r="AF131" s="326"/>
      <c r="AG131" s="326"/>
      <c r="AH131" s="326"/>
      <c r="AI131" s="326"/>
      <c r="AJ131" s="326"/>
      <c r="AK131" s="326"/>
      <c r="AL131" s="326"/>
      <c r="AM131" s="326"/>
      <c r="AN131" s="326"/>
      <c r="AO131" s="326"/>
      <c r="AP131" s="326"/>
      <c r="AQ131" s="326"/>
      <c r="AR131" s="326"/>
      <c r="AS131" s="326"/>
      <c r="AT131" s="326"/>
      <c r="AU131" s="326"/>
      <c r="AV131" s="326"/>
      <c r="AW131" s="326"/>
      <c r="AX131" s="326"/>
      <c r="AY131" s="326"/>
      <c r="AZ131" s="326"/>
      <c r="BA131" s="326"/>
      <c r="BB131" s="326"/>
      <c r="BC131" s="326"/>
      <c r="BD131" s="326"/>
      <c r="BE131" s="326"/>
      <c r="BF131" s="326"/>
      <c r="BG131" s="326"/>
      <c r="BH131" s="326"/>
      <c r="BI131" s="326"/>
      <c r="BJ131" s="326"/>
      <c r="BK131" s="326"/>
      <c r="BL131" s="326"/>
      <c r="BM131" s="326"/>
      <c r="BN131" s="326"/>
      <c r="BO131" s="326"/>
      <c r="BP131" s="326"/>
      <c r="BQ131" s="326"/>
      <c r="BR131" s="326"/>
      <c r="BS131" s="326"/>
      <c r="BT131" s="326"/>
      <c r="BU131" s="326"/>
      <c r="BV131" s="326"/>
      <c r="BW131" s="326"/>
      <c r="BX131" s="326"/>
      <c r="BY131" s="326"/>
      <c r="BZ131" s="326"/>
      <c r="CA131" s="326"/>
      <c r="CB131" s="326"/>
      <c r="CC131" s="326"/>
      <c r="CD131" s="326"/>
      <c r="CE131" s="326"/>
      <c r="CF131" s="326"/>
      <c r="CG131" s="326"/>
      <c r="CH131" s="326"/>
    </row>
    <row r="132" spans="26:86" x14ac:dyDescent="0.35">
      <c r="Z132" s="326"/>
      <c r="AA132" s="326"/>
      <c r="AB132" s="326"/>
      <c r="AC132" s="326"/>
      <c r="AD132" s="326"/>
      <c r="AE132" s="326"/>
      <c r="AF132" s="326"/>
      <c r="AG132" s="326"/>
      <c r="AH132" s="326"/>
      <c r="AI132" s="326"/>
      <c r="AJ132" s="326"/>
      <c r="AK132" s="326"/>
      <c r="AL132" s="326"/>
      <c r="AM132" s="326"/>
      <c r="AN132" s="326"/>
      <c r="AO132" s="326"/>
      <c r="AP132" s="326"/>
      <c r="AQ132" s="326"/>
      <c r="AR132" s="326"/>
      <c r="AS132" s="326"/>
      <c r="AT132" s="326"/>
      <c r="AU132" s="326"/>
      <c r="AV132" s="326"/>
      <c r="AW132" s="326"/>
      <c r="AX132" s="326"/>
      <c r="AY132" s="326"/>
      <c r="AZ132" s="326"/>
      <c r="BA132" s="326"/>
      <c r="BB132" s="326"/>
      <c r="BC132" s="326"/>
      <c r="BD132" s="326"/>
      <c r="BE132" s="326"/>
      <c r="BF132" s="326"/>
      <c r="BG132" s="326"/>
      <c r="BH132" s="326"/>
      <c r="BI132" s="326"/>
      <c r="BJ132" s="326"/>
      <c r="BK132" s="326"/>
      <c r="BL132" s="326"/>
      <c r="BM132" s="326"/>
      <c r="BN132" s="326"/>
      <c r="BO132" s="326"/>
      <c r="BP132" s="326"/>
      <c r="BQ132" s="326"/>
      <c r="BR132" s="326"/>
      <c r="BS132" s="326"/>
      <c r="BT132" s="326"/>
      <c r="BU132" s="326"/>
      <c r="BV132" s="326"/>
      <c r="BW132" s="326"/>
      <c r="BX132" s="326"/>
      <c r="BY132" s="326"/>
      <c r="BZ132" s="326"/>
      <c r="CA132" s="326"/>
      <c r="CB132" s="326"/>
      <c r="CC132" s="326"/>
      <c r="CD132" s="326"/>
      <c r="CE132" s="326"/>
      <c r="CF132" s="326"/>
      <c r="CG132" s="326"/>
      <c r="CH132" s="326"/>
    </row>
    <row r="133" spans="26:86" x14ac:dyDescent="0.35">
      <c r="Z133" s="326"/>
      <c r="AA133" s="326"/>
      <c r="AB133" s="326"/>
      <c r="AC133" s="326"/>
      <c r="AD133" s="326"/>
      <c r="AE133" s="326"/>
      <c r="AF133" s="326"/>
      <c r="AG133" s="326"/>
      <c r="AH133" s="326"/>
      <c r="AI133" s="326"/>
      <c r="AJ133" s="326"/>
      <c r="AK133" s="326"/>
      <c r="AL133" s="326"/>
      <c r="AM133" s="326"/>
      <c r="AN133" s="326"/>
      <c r="AO133" s="326"/>
      <c r="AP133" s="326"/>
      <c r="AQ133" s="326"/>
      <c r="AR133" s="326"/>
      <c r="AS133" s="326"/>
      <c r="AT133" s="326"/>
      <c r="AU133" s="326"/>
      <c r="AV133" s="326"/>
      <c r="AW133" s="326"/>
      <c r="AX133" s="326"/>
      <c r="AY133" s="326"/>
      <c r="AZ133" s="326"/>
      <c r="BA133" s="326"/>
      <c r="BB133" s="326"/>
      <c r="BC133" s="326"/>
      <c r="BD133" s="326"/>
      <c r="BE133" s="326"/>
      <c r="BF133" s="326"/>
      <c r="BG133" s="326"/>
      <c r="BH133" s="326"/>
      <c r="BI133" s="326"/>
      <c r="BJ133" s="326"/>
      <c r="BK133" s="326"/>
      <c r="BL133" s="326"/>
      <c r="BM133" s="326"/>
      <c r="BN133" s="326"/>
      <c r="BO133" s="326"/>
      <c r="BP133" s="326"/>
      <c r="BQ133" s="326"/>
      <c r="BR133" s="326"/>
      <c r="BS133" s="326"/>
      <c r="BT133" s="326"/>
      <c r="BU133" s="326"/>
      <c r="BV133" s="326"/>
      <c r="BW133" s="326"/>
      <c r="BX133" s="326"/>
      <c r="BY133" s="326"/>
      <c r="BZ133" s="326"/>
      <c r="CA133" s="326"/>
      <c r="CB133" s="326"/>
      <c r="CC133" s="326"/>
      <c r="CD133" s="326"/>
      <c r="CE133" s="326"/>
      <c r="CF133" s="326"/>
      <c r="CG133" s="326"/>
      <c r="CH133" s="326"/>
    </row>
    <row r="134" spans="26:86" x14ac:dyDescent="0.35">
      <c r="Z134" s="326"/>
      <c r="AA134" s="326"/>
      <c r="AB134" s="326"/>
      <c r="AC134" s="326"/>
      <c r="AD134" s="326"/>
      <c r="AE134" s="326"/>
      <c r="AF134" s="326"/>
      <c r="AG134" s="326"/>
      <c r="AH134" s="326"/>
      <c r="AI134" s="326"/>
      <c r="AJ134" s="326"/>
      <c r="AK134" s="326"/>
      <c r="AL134" s="326"/>
      <c r="AM134" s="326"/>
      <c r="AN134" s="326"/>
      <c r="AO134" s="326"/>
      <c r="AP134" s="326"/>
      <c r="AQ134" s="326"/>
      <c r="AR134" s="326"/>
      <c r="AS134" s="326"/>
      <c r="AT134" s="326"/>
      <c r="AU134" s="326"/>
      <c r="AV134" s="326"/>
      <c r="AW134" s="326"/>
      <c r="AX134" s="326"/>
      <c r="AY134" s="326"/>
      <c r="AZ134" s="326"/>
      <c r="BA134" s="326"/>
      <c r="BB134" s="326"/>
      <c r="BC134" s="326"/>
      <c r="BD134" s="326"/>
      <c r="BE134" s="326"/>
      <c r="BF134" s="326"/>
      <c r="BG134" s="326"/>
      <c r="BH134" s="326"/>
      <c r="BI134" s="326"/>
      <c r="BJ134" s="326"/>
      <c r="BK134" s="326"/>
      <c r="BL134" s="326"/>
      <c r="BM134" s="326"/>
      <c r="BN134" s="326"/>
      <c r="BO134" s="326"/>
      <c r="BP134" s="326"/>
      <c r="BQ134" s="326"/>
      <c r="BR134" s="326"/>
      <c r="BS134" s="326"/>
      <c r="BT134" s="326"/>
      <c r="BU134" s="326"/>
      <c r="BV134" s="326"/>
      <c r="BW134" s="326"/>
      <c r="BX134" s="326"/>
      <c r="BY134" s="326"/>
      <c r="BZ134" s="326"/>
      <c r="CA134" s="326"/>
      <c r="CB134" s="326"/>
      <c r="CC134" s="326"/>
      <c r="CD134" s="326"/>
      <c r="CE134" s="326"/>
      <c r="CF134" s="326"/>
      <c r="CG134" s="326"/>
      <c r="CH134" s="326"/>
    </row>
    <row r="135" spans="26:86" x14ac:dyDescent="0.35">
      <c r="Z135" s="326"/>
      <c r="AA135" s="326"/>
      <c r="AB135" s="326"/>
      <c r="AC135" s="326"/>
      <c r="AD135" s="326"/>
      <c r="AE135" s="326"/>
      <c r="AF135" s="326"/>
      <c r="AG135" s="326"/>
      <c r="AH135" s="326"/>
      <c r="AI135" s="326"/>
      <c r="AJ135" s="326"/>
      <c r="AK135" s="326"/>
      <c r="AL135" s="326"/>
      <c r="AM135" s="326"/>
      <c r="AN135" s="326"/>
      <c r="AO135" s="326"/>
      <c r="AP135" s="326"/>
      <c r="AQ135" s="326"/>
      <c r="AR135" s="326"/>
      <c r="AS135" s="326"/>
      <c r="AT135" s="326"/>
      <c r="AU135" s="326"/>
      <c r="AV135" s="326"/>
      <c r="AW135" s="326"/>
      <c r="AX135" s="326"/>
      <c r="AY135" s="326"/>
      <c r="AZ135" s="326"/>
      <c r="BA135" s="326"/>
      <c r="BB135" s="326"/>
      <c r="BC135" s="326"/>
      <c r="BD135" s="326"/>
      <c r="BE135" s="326"/>
      <c r="BF135" s="326"/>
      <c r="BG135" s="326"/>
      <c r="BH135" s="326"/>
      <c r="BI135" s="326"/>
      <c r="BJ135" s="326"/>
      <c r="BK135" s="326"/>
      <c r="BL135" s="326"/>
      <c r="BM135" s="326"/>
      <c r="BN135" s="326"/>
      <c r="BO135" s="326"/>
      <c r="BP135" s="326"/>
      <c r="BQ135" s="326"/>
      <c r="BR135" s="326"/>
      <c r="BS135" s="326"/>
      <c r="BT135" s="326"/>
      <c r="BU135" s="326"/>
      <c r="BV135" s="326"/>
      <c r="BW135" s="326"/>
      <c r="BX135" s="326"/>
      <c r="BY135" s="326"/>
      <c r="BZ135" s="326"/>
      <c r="CA135" s="326"/>
      <c r="CB135" s="326"/>
      <c r="CC135" s="326"/>
      <c r="CD135" s="326"/>
      <c r="CE135" s="326"/>
      <c r="CF135" s="326"/>
      <c r="CG135" s="326"/>
      <c r="CH135" s="326"/>
    </row>
    <row r="136" spans="26:86" x14ac:dyDescent="0.35">
      <c r="Z136" s="326"/>
      <c r="AA136" s="326"/>
      <c r="AB136" s="326"/>
      <c r="AC136" s="326"/>
      <c r="AD136" s="326"/>
      <c r="AE136" s="326"/>
      <c r="AF136" s="326"/>
      <c r="AG136" s="326"/>
      <c r="AH136" s="326"/>
      <c r="AI136" s="326"/>
      <c r="AJ136" s="326"/>
      <c r="AK136" s="326"/>
      <c r="AL136" s="326"/>
      <c r="AM136" s="326"/>
      <c r="AN136" s="326"/>
      <c r="AO136" s="326"/>
      <c r="AP136" s="326"/>
      <c r="AQ136" s="326"/>
      <c r="AR136" s="326"/>
      <c r="AS136" s="326"/>
      <c r="AT136" s="326"/>
      <c r="AU136" s="326"/>
      <c r="AV136" s="326"/>
      <c r="AW136" s="326"/>
      <c r="AX136" s="326"/>
      <c r="AY136" s="326"/>
      <c r="AZ136" s="326"/>
      <c r="BA136" s="326"/>
      <c r="BB136" s="326"/>
      <c r="BC136" s="326"/>
      <c r="BD136" s="326"/>
      <c r="BE136" s="326"/>
      <c r="BF136" s="326"/>
      <c r="BG136" s="326"/>
      <c r="BH136" s="326"/>
      <c r="BI136" s="326"/>
      <c r="BJ136" s="326"/>
      <c r="BK136" s="326"/>
      <c r="BL136" s="326"/>
      <c r="BM136" s="326"/>
      <c r="BN136" s="326"/>
      <c r="BO136" s="326"/>
      <c r="BP136" s="326"/>
      <c r="BQ136" s="326"/>
      <c r="BR136" s="326"/>
      <c r="BS136" s="326"/>
      <c r="BT136" s="326"/>
      <c r="BU136" s="326"/>
      <c r="BV136" s="326"/>
      <c r="BW136" s="326"/>
      <c r="BX136" s="326"/>
      <c r="BY136" s="326"/>
      <c r="BZ136" s="326"/>
      <c r="CA136" s="326"/>
      <c r="CB136" s="326"/>
      <c r="CC136" s="326"/>
      <c r="CD136" s="326"/>
      <c r="CE136" s="326"/>
      <c r="CF136" s="326"/>
      <c r="CG136" s="326"/>
      <c r="CH136" s="326"/>
    </row>
    <row r="137" spans="26:86" x14ac:dyDescent="0.35">
      <c r="Z137" s="326"/>
      <c r="AA137" s="326"/>
      <c r="AB137" s="326"/>
      <c r="AC137" s="326"/>
      <c r="AD137" s="326"/>
      <c r="AE137" s="326"/>
      <c r="AF137" s="326"/>
      <c r="AG137" s="326"/>
      <c r="AH137" s="326"/>
      <c r="AI137" s="326"/>
      <c r="AJ137" s="326"/>
      <c r="AK137" s="326"/>
      <c r="AL137" s="326"/>
      <c r="AM137" s="326"/>
      <c r="AN137" s="326"/>
      <c r="AO137" s="326"/>
      <c r="AP137" s="326"/>
      <c r="AQ137" s="326"/>
      <c r="AR137" s="326"/>
      <c r="AS137" s="326"/>
      <c r="AT137" s="326"/>
      <c r="AU137" s="326"/>
      <c r="AV137" s="326"/>
      <c r="AW137" s="326"/>
      <c r="AX137" s="326"/>
      <c r="AY137" s="326"/>
      <c r="AZ137" s="326"/>
      <c r="BA137" s="326"/>
      <c r="BB137" s="326"/>
      <c r="BC137" s="326"/>
      <c r="BD137" s="326"/>
      <c r="BE137" s="326"/>
      <c r="BF137" s="326"/>
      <c r="BG137" s="326"/>
      <c r="BH137" s="326"/>
      <c r="BI137" s="326"/>
      <c r="BJ137" s="326"/>
      <c r="BK137" s="326"/>
      <c r="BL137" s="326"/>
      <c r="BM137" s="326"/>
      <c r="BN137" s="326"/>
      <c r="BO137" s="326"/>
      <c r="BP137" s="326"/>
      <c r="BQ137" s="326"/>
      <c r="BR137" s="326"/>
      <c r="BS137" s="326"/>
      <c r="BT137" s="326"/>
      <c r="BU137" s="326"/>
      <c r="BV137" s="326"/>
      <c r="BW137" s="326"/>
      <c r="BX137" s="326"/>
      <c r="BY137" s="326"/>
      <c r="BZ137" s="326"/>
      <c r="CA137" s="326"/>
      <c r="CB137" s="326"/>
      <c r="CC137" s="326"/>
      <c r="CD137" s="326"/>
      <c r="CE137" s="326"/>
      <c r="CF137" s="326"/>
      <c r="CG137" s="326"/>
      <c r="CH137" s="326"/>
    </row>
    <row r="138" spans="26:86" x14ac:dyDescent="0.35">
      <c r="Z138" s="326"/>
      <c r="AA138" s="326"/>
      <c r="AB138" s="326"/>
      <c r="AC138" s="326"/>
      <c r="AD138" s="326"/>
      <c r="AE138" s="326"/>
      <c r="AF138" s="326"/>
      <c r="AG138" s="326"/>
      <c r="AH138" s="326"/>
      <c r="AI138" s="326"/>
      <c r="AJ138" s="326"/>
      <c r="AK138" s="326"/>
      <c r="AL138" s="326"/>
      <c r="AM138" s="326"/>
      <c r="AN138" s="326"/>
      <c r="AO138" s="326"/>
      <c r="AP138" s="326"/>
      <c r="AQ138" s="326"/>
      <c r="AR138" s="326"/>
      <c r="AS138" s="326"/>
      <c r="AT138" s="326"/>
      <c r="AU138" s="326"/>
      <c r="AV138" s="326"/>
      <c r="AW138" s="326"/>
      <c r="AX138" s="326"/>
      <c r="AY138" s="326"/>
      <c r="AZ138" s="326"/>
      <c r="BA138" s="326"/>
      <c r="BB138" s="326"/>
      <c r="BC138" s="326"/>
      <c r="BD138" s="326"/>
      <c r="BE138" s="326"/>
      <c r="BF138" s="326"/>
      <c r="BG138" s="326"/>
      <c r="BH138" s="326"/>
      <c r="BI138" s="326"/>
      <c r="BJ138" s="326"/>
      <c r="BK138" s="326"/>
      <c r="BL138" s="326"/>
      <c r="BM138" s="326"/>
      <c r="BN138" s="326"/>
      <c r="BO138" s="326"/>
      <c r="BP138" s="326"/>
      <c r="BQ138" s="326"/>
      <c r="BR138" s="326"/>
      <c r="BS138" s="326"/>
      <c r="BT138" s="326"/>
      <c r="BU138" s="326"/>
      <c r="BV138" s="326"/>
      <c r="BW138" s="326"/>
      <c r="BX138" s="326"/>
      <c r="BY138" s="326"/>
      <c r="BZ138" s="326"/>
      <c r="CA138" s="326"/>
      <c r="CB138" s="326"/>
      <c r="CC138" s="326"/>
      <c r="CD138" s="326"/>
      <c r="CE138" s="326"/>
      <c r="CF138" s="326"/>
      <c r="CG138" s="326"/>
      <c r="CH138" s="326"/>
    </row>
    <row r="139" spans="26:86" x14ac:dyDescent="0.35">
      <c r="Z139" s="326"/>
      <c r="AA139" s="326"/>
      <c r="AB139" s="326"/>
      <c r="AC139" s="326"/>
      <c r="AD139" s="326"/>
      <c r="AE139" s="326"/>
      <c r="AF139" s="326"/>
      <c r="AG139" s="326"/>
      <c r="AH139" s="326"/>
      <c r="AI139" s="326"/>
      <c r="AJ139" s="326"/>
      <c r="AK139" s="326"/>
      <c r="AL139" s="326"/>
      <c r="AM139" s="326"/>
      <c r="AN139" s="326"/>
      <c r="AO139" s="326"/>
      <c r="AP139" s="326"/>
      <c r="AQ139" s="326"/>
      <c r="AR139" s="326"/>
      <c r="AS139" s="326"/>
      <c r="AT139" s="326"/>
      <c r="AU139" s="326"/>
      <c r="AV139" s="326"/>
      <c r="AW139" s="326"/>
      <c r="AX139" s="326"/>
      <c r="AY139" s="326"/>
      <c r="AZ139" s="326"/>
      <c r="BA139" s="326"/>
      <c r="BB139" s="326"/>
      <c r="BC139" s="326"/>
      <c r="BD139" s="326"/>
      <c r="BE139" s="326"/>
      <c r="BF139" s="326"/>
      <c r="BG139" s="326"/>
      <c r="BH139" s="326"/>
      <c r="BI139" s="326"/>
      <c r="BJ139" s="326"/>
      <c r="BK139" s="326"/>
      <c r="BL139" s="326"/>
      <c r="BM139" s="326"/>
      <c r="BN139" s="326"/>
      <c r="BO139" s="326"/>
      <c r="BP139" s="326"/>
      <c r="BQ139" s="326"/>
      <c r="BR139" s="326"/>
      <c r="BS139" s="326"/>
      <c r="BT139" s="326"/>
      <c r="BU139" s="326"/>
      <c r="BV139" s="326"/>
      <c r="BW139" s="326"/>
      <c r="BX139" s="326"/>
      <c r="BY139" s="326"/>
      <c r="BZ139" s="326"/>
      <c r="CA139" s="326"/>
      <c r="CB139" s="326"/>
      <c r="CC139" s="326"/>
      <c r="CD139" s="326"/>
      <c r="CE139" s="326"/>
      <c r="CF139" s="326"/>
      <c r="CG139" s="326"/>
      <c r="CH139" s="326"/>
    </row>
    <row r="140" spans="26:86" x14ac:dyDescent="0.35">
      <c r="Z140" s="326"/>
      <c r="AA140" s="326"/>
      <c r="AB140" s="326"/>
      <c r="AC140" s="326"/>
      <c r="AD140" s="326"/>
      <c r="AE140" s="326"/>
      <c r="AF140" s="326"/>
      <c r="AG140" s="326"/>
      <c r="AH140" s="326"/>
      <c r="AI140" s="326"/>
      <c r="AJ140" s="326"/>
      <c r="AK140" s="326"/>
      <c r="AL140" s="326"/>
      <c r="AM140" s="326"/>
      <c r="AN140" s="326"/>
      <c r="AO140" s="326"/>
      <c r="AP140" s="326"/>
      <c r="AQ140" s="326"/>
      <c r="AR140" s="326"/>
      <c r="AS140" s="326"/>
      <c r="AT140" s="326"/>
      <c r="AU140" s="326"/>
      <c r="AV140" s="326"/>
      <c r="AW140" s="326"/>
      <c r="AX140" s="326"/>
      <c r="AY140" s="326"/>
      <c r="AZ140" s="326"/>
      <c r="BA140" s="326"/>
      <c r="BB140" s="326"/>
      <c r="BC140" s="326"/>
      <c r="BD140" s="326"/>
      <c r="BE140" s="326"/>
      <c r="BF140" s="326"/>
      <c r="BG140" s="326"/>
      <c r="BH140" s="326"/>
      <c r="BI140" s="326"/>
      <c r="BJ140" s="326"/>
      <c r="BK140" s="326"/>
      <c r="BL140" s="326"/>
      <c r="BM140" s="326"/>
      <c r="BN140" s="326"/>
      <c r="BO140" s="326"/>
      <c r="BP140" s="326"/>
      <c r="BQ140" s="326"/>
      <c r="BR140" s="326"/>
      <c r="BS140" s="326"/>
      <c r="BT140" s="326"/>
      <c r="BU140" s="326"/>
      <c r="BV140" s="326"/>
      <c r="BW140" s="326"/>
      <c r="BX140" s="326"/>
      <c r="BY140" s="326"/>
      <c r="BZ140" s="326"/>
      <c r="CA140" s="326"/>
      <c r="CB140" s="326"/>
      <c r="CC140" s="326"/>
      <c r="CD140" s="326"/>
      <c r="CE140" s="326"/>
      <c r="CF140" s="326"/>
      <c r="CG140" s="326"/>
      <c r="CH140" s="326"/>
    </row>
    <row r="141" spans="26:86" x14ac:dyDescent="0.35">
      <c r="Z141" s="326"/>
      <c r="AA141" s="326"/>
      <c r="AB141" s="326"/>
      <c r="AC141" s="326"/>
      <c r="AD141" s="326"/>
      <c r="AE141" s="326"/>
      <c r="AF141" s="326"/>
      <c r="AG141" s="326"/>
      <c r="AH141" s="326"/>
      <c r="AI141" s="326"/>
      <c r="AJ141" s="326"/>
      <c r="AK141" s="326"/>
      <c r="AL141" s="326"/>
      <c r="AM141" s="326"/>
      <c r="AN141" s="326"/>
      <c r="AO141" s="326"/>
      <c r="AP141" s="326"/>
      <c r="AQ141" s="326"/>
      <c r="AR141" s="326"/>
      <c r="AS141" s="326"/>
      <c r="AT141" s="326"/>
      <c r="AU141" s="326"/>
      <c r="AV141" s="326"/>
      <c r="AW141" s="326"/>
      <c r="AX141" s="326"/>
      <c r="AY141" s="326"/>
      <c r="AZ141" s="326"/>
      <c r="BA141" s="326"/>
      <c r="BB141" s="326"/>
      <c r="BC141" s="326"/>
      <c r="BD141" s="326"/>
      <c r="BE141" s="326"/>
      <c r="BF141" s="326"/>
      <c r="BG141" s="326"/>
      <c r="BH141" s="326"/>
      <c r="BI141" s="326"/>
      <c r="BJ141" s="326"/>
      <c r="BK141" s="326"/>
      <c r="BL141" s="326"/>
      <c r="BM141" s="326"/>
      <c r="BN141" s="326"/>
      <c r="BO141" s="326"/>
      <c r="BP141" s="326"/>
      <c r="BQ141" s="326"/>
      <c r="BR141" s="326"/>
      <c r="BS141" s="326"/>
      <c r="BT141" s="326"/>
      <c r="BU141" s="326"/>
      <c r="BV141" s="326"/>
      <c r="BW141" s="326"/>
      <c r="BX141" s="326"/>
      <c r="BY141" s="326"/>
      <c r="BZ141" s="326"/>
      <c r="CA141" s="326"/>
      <c r="CB141" s="326"/>
      <c r="CC141" s="326"/>
      <c r="CD141" s="326"/>
      <c r="CE141" s="326"/>
      <c r="CF141" s="326"/>
      <c r="CG141" s="326"/>
      <c r="CH141" s="326"/>
    </row>
    <row r="142" spans="26:86" x14ac:dyDescent="0.35">
      <c r="Z142" s="326"/>
      <c r="AA142" s="326"/>
      <c r="AB142" s="326"/>
      <c r="AC142" s="326"/>
      <c r="AD142" s="326"/>
      <c r="AE142" s="326"/>
      <c r="AF142" s="326"/>
      <c r="AG142" s="326"/>
      <c r="AH142" s="326"/>
      <c r="AI142" s="326"/>
      <c r="AJ142" s="326"/>
      <c r="AK142" s="326"/>
      <c r="AL142" s="326"/>
      <c r="AM142" s="326"/>
      <c r="AN142" s="326"/>
      <c r="AO142" s="326"/>
      <c r="AP142" s="326"/>
      <c r="AQ142" s="326"/>
      <c r="AR142" s="326"/>
      <c r="AS142" s="326"/>
      <c r="AT142" s="326"/>
      <c r="AU142" s="326"/>
      <c r="AV142" s="326"/>
      <c r="AW142" s="326"/>
      <c r="AX142" s="326"/>
      <c r="AY142" s="326"/>
      <c r="AZ142" s="326"/>
      <c r="BA142" s="326"/>
      <c r="BB142" s="326"/>
      <c r="BC142" s="326"/>
      <c r="BD142" s="326"/>
      <c r="BE142" s="326"/>
      <c r="BF142" s="326"/>
      <c r="BG142" s="326"/>
      <c r="BH142" s="326"/>
      <c r="BI142" s="326"/>
      <c r="BJ142" s="326"/>
      <c r="BK142" s="326"/>
      <c r="BL142" s="326"/>
      <c r="BM142" s="326"/>
      <c r="BN142" s="326"/>
      <c r="BO142" s="326"/>
      <c r="BP142" s="326"/>
      <c r="BQ142" s="326"/>
      <c r="BR142" s="326"/>
      <c r="BS142" s="326"/>
      <c r="BT142" s="326"/>
      <c r="BU142" s="326"/>
      <c r="BV142" s="326"/>
      <c r="BW142" s="326"/>
      <c r="BX142" s="326"/>
      <c r="BY142" s="326"/>
      <c r="BZ142" s="326"/>
      <c r="CA142" s="326"/>
      <c r="CB142" s="326"/>
      <c r="CC142" s="326"/>
      <c r="CD142" s="326"/>
      <c r="CE142" s="326"/>
      <c r="CF142" s="326"/>
      <c r="CG142" s="326"/>
      <c r="CH142" s="326"/>
    </row>
    <row r="143" spans="26:86" x14ac:dyDescent="0.35">
      <c r="Z143" s="326"/>
      <c r="AA143" s="326"/>
      <c r="AB143" s="326"/>
      <c r="AC143" s="326"/>
      <c r="AD143" s="326"/>
      <c r="AE143" s="326"/>
      <c r="AF143" s="326"/>
      <c r="AG143" s="326"/>
      <c r="AH143" s="326"/>
      <c r="AI143" s="326"/>
      <c r="AJ143" s="326"/>
      <c r="AK143" s="326"/>
      <c r="AL143" s="326"/>
      <c r="AM143" s="326"/>
    </row>
    <row r="144" spans="26:86" x14ac:dyDescent="0.35">
      <c r="Z144" s="326"/>
      <c r="AA144" s="326"/>
      <c r="AB144" s="326"/>
      <c r="AC144" s="326"/>
      <c r="AD144" s="326"/>
      <c r="AE144" s="326"/>
      <c r="AF144" s="326"/>
      <c r="AG144" s="326"/>
      <c r="AH144" s="326"/>
      <c r="AI144" s="326"/>
      <c r="AJ144" s="326"/>
      <c r="AK144" s="326"/>
      <c r="AL144" s="326"/>
      <c r="AM144" s="326"/>
    </row>
  </sheetData>
  <sheetProtection algorithmName="SHA-512" hashValue="4Sk2e0ZJmc7imnC1j197Cc1wgU0yANQ6YUiJOhhVQSGcJvwjzAYcONDjW7UoYsFv7TVEU3TiXJ8QxsXpAYBNtg==" saltValue="yJMokQM50GEUgiFyipHoZg==" spinCount="100000" sheet="1" objects="1" scenarios="1"/>
  <protectedRanges>
    <protectedRange sqref="C13:C18 D16:D18" name="Range1"/>
  </protectedRanges>
  <mergeCells count="6">
    <mergeCell ref="B8:E8"/>
    <mergeCell ref="C3:E3"/>
    <mergeCell ref="B4:E4"/>
    <mergeCell ref="B5:E5"/>
    <mergeCell ref="B6:E6"/>
    <mergeCell ref="B7:E7"/>
  </mergeCell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F00-000000000000}">
          <x14:formula1>
            <xm:f>Assumptions!$T$3:$T$25</xm:f>
          </x14:formula1>
          <xm:sqref>C13</xm:sqref>
        </x14:dataValidation>
        <x14:dataValidation type="list" allowBlank="1" showInputMessage="1" showErrorMessage="1" xr:uid="{00000000-0002-0000-0F00-000001000000}">
          <x14:formula1>
            <xm:f>Assumptions!$U$3:$U$4</xm:f>
          </x14:formula1>
          <xm:sqref>D16:D18</xm:sqref>
        </x14:dataValidation>
      </x14:dataValidation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8"/>
  <dimension ref="A1:HD638"/>
  <sheetViews>
    <sheetView topLeftCell="A208" zoomScaleNormal="100" zoomScalePageLayoutView="70" workbookViewId="0">
      <pane xSplit="2" topLeftCell="BZ1" activePane="topRight" state="frozen"/>
      <selection activeCell="A160" sqref="A160"/>
      <selection pane="topRight" activeCell="CV250" sqref="CV250"/>
    </sheetView>
  </sheetViews>
  <sheetFormatPr defaultColWidth="8.7265625" defaultRowHeight="14.5" x14ac:dyDescent="0.35"/>
  <cols>
    <col min="1" max="1" width="8.7265625" style="1"/>
    <col min="2" max="2" width="24" style="149" customWidth="1"/>
    <col min="3" max="3" width="11.7265625" style="149" customWidth="1"/>
    <col min="4" max="4" width="14" style="149" customWidth="1"/>
    <col min="5" max="5" width="13" style="1" customWidth="1"/>
    <col min="6" max="6" width="8.7265625" style="19"/>
    <col min="7" max="7" width="10.26953125" style="1" customWidth="1"/>
    <col min="8" max="8" width="13.453125" style="1" customWidth="1"/>
    <col min="9" max="10" width="14.453125" style="1" customWidth="1"/>
    <col min="11" max="11" width="8.7265625" style="1"/>
    <col min="12" max="12" width="15.453125" style="19" customWidth="1"/>
    <col min="13" max="13" width="11.7265625" style="1" customWidth="1"/>
    <col min="14" max="14" width="10.26953125" style="2" customWidth="1"/>
    <col min="15" max="15" width="8.7265625" style="1"/>
    <col min="16" max="16" width="14" style="1" customWidth="1"/>
    <col min="17" max="17" width="11.453125" style="1" customWidth="1"/>
    <col min="18" max="18" width="14.453125" style="1" customWidth="1"/>
    <col min="19" max="19" width="15" style="19" customWidth="1"/>
    <col min="20" max="20" width="22" style="1" customWidth="1"/>
    <col min="21" max="21" width="17.7265625" style="1" customWidth="1"/>
    <col min="22" max="22" width="10" style="1" customWidth="1"/>
    <col min="23" max="23" width="11.26953125" style="1" customWidth="1"/>
    <col min="24" max="25" width="12" style="1" customWidth="1"/>
    <col min="26" max="26" width="12.7265625" style="1" customWidth="1"/>
    <col min="27" max="27" width="16.453125" style="1" customWidth="1"/>
    <col min="28" max="28" width="16.26953125" style="1" customWidth="1"/>
    <col min="29" max="29" width="8.7265625" style="1"/>
    <col min="30" max="30" width="13.26953125" style="1" customWidth="1"/>
    <col min="31" max="31" width="10.7265625" style="1" customWidth="1"/>
    <col min="32" max="36" width="8.7265625" style="1"/>
    <col min="37" max="38" width="9.26953125" style="1" customWidth="1"/>
    <col min="39" max="40" width="8.7265625" style="1"/>
    <col min="41" max="41" width="18.26953125" style="1" customWidth="1"/>
    <col min="42" max="16384" width="8.7265625" style="1"/>
  </cols>
  <sheetData>
    <row r="1" spans="1:34" s="17" customFormat="1" ht="24.75" customHeight="1" x14ac:dyDescent="0.45">
      <c r="A1" s="262" t="s">
        <v>276</v>
      </c>
      <c r="B1" s="271"/>
      <c r="C1" s="271"/>
      <c r="D1" s="271"/>
      <c r="E1" s="194"/>
      <c r="F1" s="194"/>
      <c r="G1" s="194"/>
      <c r="H1" s="194"/>
      <c r="I1" s="194"/>
      <c r="J1" s="194"/>
      <c r="K1" s="194"/>
      <c r="L1" s="194"/>
      <c r="M1" s="262" t="s">
        <v>277</v>
      </c>
      <c r="N1" s="222"/>
      <c r="Q1" s="194"/>
      <c r="R1" s="194"/>
      <c r="S1" s="194"/>
      <c r="T1" s="194"/>
      <c r="U1" s="194"/>
      <c r="V1" s="194"/>
      <c r="W1" s="194"/>
      <c r="X1" s="194"/>
      <c r="Y1" s="194"/>
      <c r="Z1" s="194"/>
      <c r="AA1" s="194"/>
      <c r="AB1" s="194"/>
      <c r="AC1" s="194"/>
      <c r="AD1" s="194"/>
      <c r="AE1" s="194"/>
      <c r="AF1" s="194"/>
      <c r="AG1" s="194"/>
      <c r="AH1" s="194"/>
    </row>
    <row r="2" spans="1:34" s="195" customFormat="1" ht="29.25" customHeight="1" x14ac:dyDescent="0.35">
      <c r="B2" s="276" t="s">
        <v>278</v>
      </c>
      <c r="C2" s="277" t="s">
        <v>279</v>
      </c>
      <c r="D2" s="272" t="s">
        <v>280</v>
      </c>
      <c r="E2" s="219" t="s">
        <v>281</v>
      </c>
      <c r="F2" s="218" t="s">
        <v>151</v>
      </c>
      <c r="G2" s="218" t="s">
        <v>282</v>
      </c>
      <c r="H2" s="220" t="s">
        <v>105</v>
      </c>
      <c r="I2" s="220" t="s">
        <v>242</v>
      </c>
      <c r="J2" s="221" t="s">
        <v>136</v>
      </c>
      <c r="M2" s="201" t="s">
        <v>278</v>
      </c>
      <c r="N2" s="223" t="s">
        <v>279</v>
      </c>
      <c r="O2" s="223" t="s">
        <v>151</v>
      </c>
      <c r="P2" s="223" t="s">
        <v>281</v>
      </c>
      <c r="Q2" s="220" t="s">
        <v>105</v>
      </c>
      <c r="R2" s="220" t="s">
        <v>242</v>
      </c>
      <c r="S2" s="221" t="s">
        <v>136</v>
      </c>
      <c r="T2" s="194"/>
      <c r="U2" s="194"/>
      <c r="V2" s="194"/>
      <c r="W2" s="194"/>
      <c r="X2" s="194"/>
      <c r="Y2" s="194"/>
      <c r="Z2" s="194"/>
      <c r="AA2" s="194"/>
      <c r="AB2" s="194"/>
      <c r="AC2" s="194"/>
      <c r="AD2" s="194"/>
      <c r="AE2" s="194"/>
      <c r="AF2" s="194"/>
      <c r="AG2" s="194"/>
      <c r="AH2" s="194"/>
    </row>
    <row r="3" spans="1:34" s="195" customFormat="1" ht="15.5" x14ac:dyDescent="0.35">
      <c r="B3" s="278" t="s">
        <v>283</v>
      </c>
      <c r="C3" s="279">
        <v>2018</v>
      </c>
      <c r="D3" s="217" t="s">
        <v>284</v>
      </c>
      <c r="E3" s="78" t="s">
        <v>106</v>
      </c>
      <c r="F3" s="217" t="s">
        <v>107</v>
      </c>
      <c r="G3" s="217">
        <v>2.5</v>
      </c>
      <c r="H3" s="79">
        <v>1924.07</v>
      </c>
      <c r="I3" s="79">
        <v>3037.55</v>
      </c>
      <c r="J3" s="80">
        <v>7525.91</v>
      </c>
      <c r="K3" s="194"/>
      <c r="L3" s="194"/>
      <c r="M3" s="77" t="s">
        <v>283</v>
      </c>
      <c r="N3" s="224">
        <v>2014</v>
      </c>
      <c r="O3" s="47" t="s">
        <v>204</v>
      </c>
      <c r="P3" s="78" t="s">
        <v>106</v>
      </c>
      <c r="Q3" s="68">
        <v>3324.57</v>
      </c>
      <c r="R3" s="68">
        <v>5200.71</v>
      </c>
      <c r="S3" s="69">
        <v>8058.48</v>
      </c>
      <c r="T3" s="194"/>
      <c r="U3" s="194"/>
      <c r="V3" s="194"/>
      <c r="W3" s="194"/>
      <c r="X3" s="194"/>
      <c r="Y3" s="194"/>
      <c r="Z3" s="194"/>
      <c r="AA3" s="194"/>
      <c r="AB3" s="194"/>
      <c r="AC3" s="194"/>
      <c r="AD3" s="194"/>
      <c r="AE3" s="194"/>
      <c r="AF3" s="194"/>
      <c r="AG3" s="194"/>
      <c r="AH3" s="194"/>
    </row>
    <row r="4" spans="1:34" s="18" customFormat="1" ht="15.5" x14ac:dyDescent="0.35">
      <c r="B4" s="280" t="s">
        <v>283</v>
      </c>
      <c r="C4" s="281">
        <v>2018</v>
      </c>
      <c r="D4" s="99" t="s">
        <v>284</v>
      </c>
      <c r="E4" s="78" t="s">
        <v>106</v>
      </c>
      <c r="F4" s="99" t="s">
        <v>107</v>
      </c>
      <c r="G4" s="99">
        <v>5</v>
      </c>
      <c r="H4" s="68">
        <v>1087.67</v>
      </c>
      <c r="I4" s="68">
        <v>1746.76</v>
      </c>
      <c r="J4" s="69">
        <v>4299.9399999999996</v>
      </c>
      <c r="K4" s="194"/>
      <c r="L4" s="194"/>
      <c r="M4" s="48" t="s">
        <v>283</v>
      </c>
      <c r="N4" s="225">
        <v>2014</v>
      </c>
      <c r="O4" s="45" t="s">
        <v>204</v>
      </c>
      <c r="P4" s="72" t="s">
        <v>109</v>
      </c>
      <c r="Q4" s="68">
        <v>7.6023800000000001</v>
      </c>
      <c r="R4" s="68">
        <v>17.9438</v>
      </c>
      <c r="S4" s="69">
        <v>20.506699999999999</v>
      </c>
      <c r="T4" s="194"/>
      <c r="U4" s="194"/>
      <c r="V4" s="194"/>
      <c r="W4" s="194"/>
      <c r="X4" s="194"/>
      <c r="Y4" s="194"/>
      <c r="Z4" s="194"/>
      <c r="AA4" s="194"/>
      <c r="AB4" s="194"/>
      <c r="AC4" s="194"/>
      <c r="AD4" s="194"/>
      <c r="AE4" s="194"/>
      <c r="AF4" s="194"/>
      <c r="AG4" s="194"/>
      <c r="AH4" s="194"/>
    </row>
    <row r="5" spans="1:34" s="18" customFormat="1" ht="15.5" x14ac:dyDescent="0.35">
      <c r="B5" s="280" t="s">
        <v>283</v>
      </c>
      <c r="C5" s="281">
        <v>2018</v>
      </c>
      <c r="D5" s="99" t="s">
        <v>284</v>
      </c>
      <c r="E5" s="78" t="s">
        <v>106</v>
      </c>
      <c r="F5" s="99" t="s">
        <v>107</v>
      </c>
      <c r="G5" s="99">
        <v>10</v>
      </c>
      <c r="H5" s="68">
        <v>669.48</v>
      </c>
      <c r="I5" s="68">
        <v>1111.97</v>
      </c>
      <c r="J5" s="69">
        <v>2811.66</v>
      </c>
      <c r="K5" s="194"/>
      <c r="L5" s="194"/>
      <c r="M5" s="48" t="s">
        <v>283</v>
      </c>
      <c r="N5" s="225">
        <v>2014</v>
      </c>
      <c r="O5" s="45" t="s">
        <v>204</v>
      </c>
      <c r="P5" s="72" t="s">
        <v>111</v>
      </c>
      <c r="Q5" s="68">
        <v>4.4586199999999999E-2</v>
      </c>
      <c r="R5" s="68">
        <v>0.54217599999999999</v>
      </c>
      <c r="S5" s="69">
        <v>1.8287899999999999</v>
      </c>
      <c r="T5" s="194"/>
      <c r="U5" s="194"/>
      <c r="V5" s="194"/>
      <c r="W5" s="194"/>
      <c r="X5" s="194"/>
      <c r="Y5" s="194"/>
      <c r="Z5" s="194"/>
      <c r="AA5" s="194"/>
      <c r="AB5" s="194"/>
      <c r="AC5" s="194"/>
      <c r="AD5" s="194"/>
      <c r="AE5" s="194"/>
      <c r="AF5" s="194"/>
      <c r="AG5" s="194"/>
      <c r="AH5" s="194"/>
    </row>
    <row r="6" spans="1:34" s="18" customFormat="1" ht="15.5" x14ac:dyDescent="0.35">
      <c r="B6" s="280" t="s">
        <v>283</v>
      </c>
      <c r="C6" s="281">
        <v>2018</v>
      </c>
      <c r="D6" s="99" t="s">
        <v>284</v>
      </c>
      <c r="E6" s="78" t="s">
        <v>106</v>
      </c>
      <c r="F6" s="99" t="s">
        <v>107</v>
      </c>
      <c r="G6" s="99">
        <v>20</v>
      </c>
      <c r="H6" s="68">
        <v>457.82499999999999</v>
      </c>
      <c r="I6" s="68">
        <v>794.149</v>
      </c>
      <c r="J6" s="69">
        <v>2278.17</v>
      </c>
      <c r="K6" s="194"/>
      <c r="L6" s="194"/>
      <c r="M6" s="48" t="s">
        <v>283</v>
      </c>
      <c r="N6" s="225">
        <v>2014</v>
      </c>
      <c r="O6" s="45" t="s">
        <v>204</v>
      </c>
      <c r="P6" s="72" t="s">
        <v>285</v>
      </c>
      <c r="Q6" s="68">
        <v>0.78017199999999998</v>
      </c>
      <c r="R6" s="68">
        <v>12.770799999999999</v>
      </c>
      <c r="S6" s="69">
        <v>61.287300000000002</v>
      </c>
      <c r="T6" s="194"/>
      <c r="U6" s="194"/>
      <c r="V6" s="194"/>
      <c r="W6" s="194"/>
      <c r="X6" s="194"/>
      <c r="Y6" s="194"/>
      <c r="Z6" s="194"/>
      <c r="AA6" s="194"/>
      <c r="AB6" s="194"/>
      <c r="AC6" s="194"/>
      <c r="AD6" s="194"/>
      <c r="AE6" s="194"/>
      <c r="AF6" s="194"/>
      <c r="AG6" s="194"/>
      <c r="AH6" s="194"/>
    </row>
    <row r="7" spans="1:34" s="18" customFormat="1" ht="15.5" x14ac:dyDescent="0.35">
      <c r="B7" s="280" t="s">
        <v>283</v>
      </c>
      <c r="C7" s="281">
        <v>2018</v>
      </c>
      <c r="D7" s="99" t="s">
        <v>284</v>
      </c>
      <c r="E7" s="78" t="s">
        <v>106</v>
      </c>
      <c r="F7" s="99" t="s">
        <v>107</v>
      </c>
      <c r="G7" s="99">
        <v>25</v>
      </c>
      <c r="H7" s="68">
        <v>530.08100000000002</v>
      </c>
      <c r="I7" s="68">
        <v>908.31600000000003</v>
      </c>
      <c r="J7" s="69">
        <v>2526.69</v>
      </c>
      <c r="K7" s="194"/>
      <c r="L7" s="194"/>
      <c r="M7" s="49" t="s">
        <v>283</v>
      </c>
      <c r="N7" s="226">
        <v>2014</v>
      </c>
      <c r="O7" s="50" t="s">
        <v>204</v>
      </c>
      <c r="P7" s="73" t="s">
        <v>115</v>
      </c>
      <c r="Q7" s="70">
        <v>0.53997399999999995</v>
      </c>
      <c r="R7" s="70">
        <v>2.28396</v>
      </c>
      <c r="S7" s="71">
        <v>5.2262500000000003</v>
      </c>
      <c r="T7" s="194"/>
      <c r="U7" s="194"/>
      <c r="V7" s="194"/>
      <c r="W7" s="194"/>
      <c r="X7" s="194"/>
      <c r="Y7" s="194"/>
      <c r="Z7" s="194"/>
      <c r="AA7" s="194"/>
      <c r="AB7" s="194"/>
      <c r="AC7" s="194"/>
      <c r="AD7" s="194"/>
      <c r="AE7" s="194"/>
      <c r="AF7" s="194"/>
      <c r="AG7" s="194"/>
      <c r="AH7" s="194"/>
    </row>
    <row r="8" spans="1:34" s="18" customFormat="1" ht="15.5" x14ac:dyDescent="0.35">
      <c r="B8" s="280" t="s">
        <v>283</v>
      </c>
      <c r="C8" s="281">
        <v>2018</v>
      </c>
      <c r="D8" s="99" t="s">
        <v>284</v>
      </c>
      <c r="E8" s="78" t="s">
        <v>106</v>
      </c>
      <c r="F8" s="99" t="s">
        <v>107</v>
      </c>
      <c r="G8" s="99">
        <v>25</v>
      </c>
      <c r="H8" s="68">
        <v>409.322</v>
      </c>
      <c r="I8" s="68">
        <v>713.43299999999999</v>
      </c>
      <c r="J8" s="69">
        <v>2107</v>
      </c>
      <c r="K8" s="194"/>
      <c r="L8" s="194"/>
      <c r="N8" s="227"/>
      <c r="Q8" s="194"/>
      <c r="R8" s="194"/>
      <c r="S8" s="194"/>
      <c r="T8" s="194"/>
      <c r="U8" s="194"/>
      <c r="V8" s="194"/>
      <c r="W8" s="194"/>
      <c r="X8" s="194"/>
      <c r="Y8" s="194"/>
      <c r="Z8" s="194"/>
      <c r="AA8" s="194"/>
      <c r="AB8" s="194"/>
      <c r="AC8" s="194"/>
      <c r="AD8" s="194"/>
      <c r="AE8" s="194"/>
      <c r="AF8" s="194"/>
      <c r="AG8" s="194"/>
      <c r="AH8" s="194"/>
    </row>
    <row r="9" spans="1:34" s="18" customFormat="1" ht="15.5" x14ac:dyDescent="0.35">
      <c r="B9" s="280" t="s">
        <v>283</v>
      </c>
      <c r="C9" s="281">
        <v>2018</v>
      </c>
      <c r="D9" s="99" t="s">
        <v>284</v>
      </c>
      <c r="E9" s="78" t="s">
        <v>106</v>
      </c>
      <c r="F9" s="99" t="s">
        <v>107</v>
      </c>
      <c r="G9" s="99">
        <v>30</v>
      </c>
      <c r="H9" s="68">
        <v>365.68700000000001</v>
      </c>
      <c r="I9" s="68">
        <v>662.84500000000003</v>
      </c>
      <c r="J9" s="69">
        <v>2060.25</v>
      </c>
      <c r="K9" s="194"/>
      <c r="L9" s="194"/>
    </row>
    <row r="10" spans="1:34" s="18" customFormat="1" ht="15.5" x14ac:dyDescent="0.35">
      <c r="B10" s="280" t="s">
        <v>283</v>
      </c>
      <c r="C10" s="281">
        <v>2018</v>
      </c>
      <c r="D10" s="99" t="s">
        <v>284</v>
      </c>
      <c r="E10" s="78" t="s">
        <v>106</v>
      </c>
      <c r="F10" s="99" t="s">
        <v>107</v>
      </c>
      <c r="G10" s="99">
        <v>35</v>
      </c>
      <c r="H10" s="68">
        <v>345.99299999999999</v>
      </c>
      <c r="I10" s="68">
        <v>602.02700000000004</v>
      </c>
      <c r="J10" s="69">
        <v>1789.19</v>
      </c>
      <c r="K10" s="194"/>
      <c r="L10" s="194"/>
    </row>
    <row r="11" spans="1:34" s="18" customFormat="1" ht="15.75" customHeight="1" x14ac:dyDescent="0.35">
      <c r="B11" s="280" t="s">
        <v>283</v>
      </c>
      <c r="C11" s="281">
        <v>2018</v>
      </c>
      <c r="D11" s="99" t="s">
        <v>284</v>
      </c>
      <c r="E11" s="78" t="s">
        <v>106</v>
      </c>
      <c r="F11" s="99" t="s">
        <v>107</v>
      </c>
      <c r="G11" s="99">
        <v>40</v>
      </c>
      <c r="H11" s="68">
        <v>333.98399999999998</v>
      </c>
      <c r="I11" s="68">
        <v>580.43200000000002</v>
      </c>
      <c r="J11" s="69">
        <v>1753.73</v>
      </c>
      <c r="K11" s="194"/>
      <c r="L11" s="194"/>
    </row>
    <row r="12" spans="1:34" s="18" customFormat="1" ht="18.5" x14ac:dyDescent="0.45">
      <c r="B12" s="280" t="s">
        <v>283</v>
      </c>
      <c r="C12" s="281">
        <v>2018</v>
      </c>
      <c r="D12" s="99" t="s">
        <v>284</v>
      </c>
      <c r="E12" s="78" t="s">
        <v>106</v>
      </c>
      <c r="F12" s="99" t="s">
        <v>107</v>
      </c>
      <c r="G12" s="99">
        <v>45</v>
      </c>
      <c r="H12" s="68">
        <v>325.02800000000002</v>
      </c>
      <c r="I12" s="68">
        <v>563.72699999999998</v>
      </c>
      <c r="J12" s="69">
        <v>1726.14</v>
      </c>
      <c r="K12" s="194"/>
      <c r="L12" s="194"/>
      <c r="M12" s="262" t="s">
        <v>286</v>
      </c>
    </row>
    <row r="13" spans="1:34" s="18" customFormat="1" ht="15.5" x14ac:dyDescent="0.35">
      <c r="B13" s="280" t="s">
        <v>283</v>
      </c>
      <c r="C13" s="281">
        <v>2018</v>
      </c>
      <c r="D13" s="99" t="s">
        <v>284</v>
      </c>
      <c r="E13" s="78" t="s">
        <v>106</v>
      </c>
      <c r="F13" s="99" t="s">
        <v>107</v>
      </c>
      <c r="G13" s="99">
        <v>50</v>
      </c>
      <c r="H13" s="68">
        <v>318.51299999999998</v>
      </c>
      <c r="I13" s="68">
        <v>552.12199999999996</v>
      </c>
      <c r="J13" s="69">
        <v>1664.3</v>
      </c>
      <c r="K13" s="194"/>
      <c r="L13" s="194"/>
      <c r="M13" s="240" t="s">
        <v>287</v>
      </c>
      <c r="N13" s="250" t="s">
        <v>288</v>
      </c>
      <c r="O13" s="251" t="s">
        <v>289</v>
      </c>
    </row>
    <row r="14" spans="1:34" s="18" customFormat="1" ht="15.5" x14ac:dyDescent="0.35">
      <c r="B14" s="280" t="s">
        <v>283</v>
      </c>
      <c r="C14" s="281">
        <v>2018</v>
      </c>
      <c r="D14" s="99" t="s">
        <v>284</v>
      </c>
      <c r="E14" s="78" t="s">
        <v>106</v>
      </c>
      <c r="F14" s="99" t="s">
        <v>107</v>
      </c>
      <c r="G14" s="99">
        <v>55</v>
      </c>
      <c r="H14" s="68">
        <v>315.33</v>
      </c>
      <c r="I14" s="68">
        <v>544.76800000000003</v>
      </c>
      <c r="J14" s="69">
        <v>1597.19</v>
      </c>
      <c r="K14" s="194"/>
      <c r="L14" s="194"/>
      <c r="M14" s="53" t="s">
        <v>290</v>
      </c>
      <c r="N14" s="249">
        <f>'PSRC Assumptions'!$C$7</f>
        <v>0.92700000000000005</v>
      </c>
      <c r="O14" s="252">
        <f>N14/SUM(N14:N15)</f>
        <v>0.96261682242990654</v>
      </c>
      <c r="Q14" s="244"/>
    </row>
    <row r="15" spans="1:34" s="18" customFormat="1" ht="15.5" x14ac:dyDescent="0.35">
      <c r="B15" s="280" t="s">
        <v>283</v>
      </c>
      <c r="C15" s="281">
        <v>2018</v>
      </c>
      <c r="D15" s="99" t="s">
        <v>284</v>
      </c>
      <c r="E15" s="78" t="s">
        <v>106</v>
      </c>
      <c r="F15" s="99" t="s">
        <v>107</v>
      </c>
      <c r="G15" s="99">
        <v>60</v>
      </c>
      <c r="H15" s="68">
        <v>315.23599999999999</v>
      </c>
      <c r="I15" s="68">
        <v>534.40499999999997</v>
      </c>
      <c r="J15" s="69">
        <v>1602.56</v>
      </c>
      <c r="K15" s="194"/>
      <c r="L15" s="194"/>
      <c r="M15" s="49" t="s">
        <v>291</v>
      </c>
      <c r="N15" s="253">
        <f>'PSRC Assumptions'!$C$8</f>
        <v>3.5999999999999997E-2</v>
      </c>
      <c r="O15" s="254">
        <f>N15/SUM(N14:N15)</f>
        <v>3.7383177570093455E-2</v>
      </c>
      <c r="Q15" s="244"/>
    </row>
    <row r="16" spans="1:34" s="18" customFormat="1" ht="15.5" x14ac:dyDescent="0.35">
      <c r="B16" s="280" t="s">
        <v>283</v>
      </c>
      <c r="C16" s="281">
        <v>2018</v>
      </c>
      <c r="D16" s="99" t="s">
        <v>284</v>
      </c>
      <c r="E16" s="78" t="s">
        <v>106</v>
      </c>
      <c r="F16" s="99" t="s">
        <v>107</v>
      </c>
      <c r="G16" s="99">
        <v>65</v>
      </c>
      <c r="H16" s="68">
        <v>318.52999999999997</v>
      </c>
      <c r="I16" s="68">
        <v>544.52200000000005</v>
      </c>
      <c r="J16" s="69">
        <v>1706.9</v>
      </c>
      <c r="K16" s="194"/>
      <c r="L16" s="194"/>
    </row>
    <row r="17" spans="2:35" s="18" customFormat="1" ht="18.5" x14ac:dyDescent="0.45">
      <c r="B17" s="280" t="s">
        <v>283</v>
      </c>
      <c r="C17" s="281">
        <v>2018</v>
      </c>
      <c r="D17" s="99" t="s">
        <v>284</v>
      </c>
      <c r="E17" s="78" t="s">
        <v>106</v>
      </c>
      <c r="F17" s="99" t="s">
        <v>107</v>
      </c>
      <c r="G17" s="99">
        <v>70</v>
      </c>
      <c r="H17" s="68">
        <v>329.911</v>
      </c>
      <c r="I17" s="68">
        <v>561.61</v>
      </c>
      <c r="J17" s="69">
        <v>1796.32</v>
      </c>
      <c r="K17" s="194"/>
      <c r="L17" s="194"/>
      <c r="M17" s="263" t="s">
        <v>292</v>
      </c>
      <c r="T17" s="263" t="s">
        <v>293</v>
      </c>
      <c r="U17" s="194"/>
      <c r="V17" s="194"/>
      <c r="W17" s="194"/>
      <c r="X17" s="194"/>
      <c r="AB17" s="263" t="s">
        <v>294</v>
      </c>
    </row>
    <row r="18" spans="2:35" s="18" customFormat="1" ht="15.75" customHeight="1" x14ac:dyDescent="0.35">
      <c r="B18" s="282" t="s">
        <v>283</v>
      </c>
      <c r="C18" s="283">
        <v>2018</v>
      </c>
      <c r="D18" s="51" t="s">
        <v>284</v>
      </c>
      <c r="E18" s="78" t="s">
        <v>106</v>
      </c>
      <c r="F18" s="51" t="s">
        <v>107</v>
      </c>
      <c r="G18" s="51">
        <v>75</v>
      </c>
      <c r="H18" s="70">
        <v>348.59199999999998</v>
      </c>
      <c r="I18" s="70">
        <v>583.23400000000004</v>
      </c>
      <c r="J18" s="71">
        <v>1899.92</v>
      </c>
      <c r="K18" s="194"/>
      <c r="L18" s="194"/>
      <c r="M18" s="240" t="s">
        <v>100</v>
      </c>
      <c r="N18" s="241" t="s">
        <v>150</v>
      </c>
      <c r="O18" s="241" t="s">
        <v>102</v>
      </c>
      <c r="P18" s="241" t="s">
        <v>151</v>
      </c>
      <c r="Q18" s="242">
        <v>2018</v>
      </c>
      <c r="R18" s="243">
        <v>2030</v>
      </c>
      <c r="S18" s="243">
        <v>2040</v>
      </c>
      <c r="U18" s="240" t="s">
        <v>100</v>
      </c>
      <c r="V18" s="241" t="s">
        <v>150</v>
      </c>
      <c r="W18" s="241" t="s">
        <v>151</v>
      </c>
      <c r="X18" s="242">
        <v>2018</v>
      </c>
      <c r="Y18" s="243">
        <v>2030</v>
      </c>
      <c r="Z18" s="243">
        <v>2040</v>
      </c>
      <c r="AC18" s="240" t="s">
        <v>100</v>
      </c>
      <c r="AD18" s="241" t="s">
        <v>150</v>
      </c>
      <c r="AE18" s="241" t="s">
        <v>102</v>
      </c>
      <c r="AF18" s="241" t="s">
        <v>151</v>
      </c>
      <c r="AG18" s="242">
        <v>2018</v>
      </c>
      <c r="AH18" s="243">
        <v>2030</v>
      </c>
      <c r="AI18" s="243">
        <v>2040</v>
      </c>
    </row>
    <row r="19" spans="2:35" s="18" customFormat="1" ht="15.5" x14ac:dyDescent="0.35">
      <c r="B19" s="278" t="s">
        <v>283</v>
      </c>
      <c r="C19" s="279">
        <v>2018</v>
      </c>
      <c r="D19" s="217" t="s">
        <v>295</v>
      </c>
      <c r="E19" s="78" t="s">
        <v>109</v>
      </c>
      <c r="F19" s="217" t="s">
        <v>107</v>
      </c>
      <c r="G19" s="217">
        <v>2.5</v>
      </c>
      <c r="H19" s="79">
        <v>9.8725000000000005</v>
      </c>
      <c r="I19" s="79">
        <v>13.758100000000001</v>
      </c>
      <c r="J19" s="80">
        <v>18.3386</v>
      </c>
      <c r="K19" s="194"/>
      <c r="L19" s="194"/>
      <c r="M19" s="85" t="s">
        <v>296</v>
      </c>
      <c r="N19" s="229" t="s">
        <v>106</v>
      </c>
      <c r="O19" s="540">
        <f>IF(ROUNDDOWN(('Increase Corridor Speed'!$H$17/5),0)*5 = 15,10,ROUNDDOWN(('Increase Corridor Speed'!$H$17/5),0)*5)</f>
        <v>0</v>
      </c>
      <c r="P19" s="229" t="s">
        <v>107</v>
      </c>
      <c r="Q19" s="238" t="e">
        <f t="shared" ref="Q19:R28" si="0">($O$14*Q29)+($O$15*Q39)</f>
        <v>#N/A</v>
      </c>
      <c r="R19" s="239" t="e">
        <f t="shared" si="0"/>
        <v>#N/A</v>
      </c>
      <c r="S19" s="239" t="e">
        <f>($O$14*S29)+($O$15*S39)</f>
        <v>#N/A</v>
      </c>
      <c r="U19" s="53" t="s">
        <v>296</v>
      </c>
      <c r="V19" s="54" t="s">
        <v>106</v>
      </c>
      <c r="W19" s="54" t="s">
        <v>204</v>
      </c>
      <c r="X19" s="178">
        <f>($O$14*X24)+($O$15*X29)</f>
        <v>3394.7060747663554</v>
      </c>
      <c r="Y19" s="179">
        <f>($O$14*Y24)+($O$15*Y29)</f>
        <v>2594.6621495327104</v>
      </c>
      <c r="Z19" s="179">
        <f>($O$14*Z24)+($O$15*Z29)</f>
        <v>2344.3917757009344</v>
      </c>
      <c r="AC19" s="85" t="s">
        <v>296</v>
      </c>
      <c r="AD19" s="229" t="s">
        <v>106</v>
      </c>
      <c r="AE19" s="237">
        <v>35</v>
      </c>
      <c r="AF19" s="229" t="s">
        <v>107</v>
      </c>
      <c r="AG19" s="238">
        <f t="shared" ref="AG19:AH19" si="1">($O$14*AG29)+($O$15*AG39)</f>
        <v>355.56436448598129</v>
      </c>
      <c r="AH19" s="239">
        <f t="shared" si="1"/>
        <v>271.98332710280374</v>
      </c>
      <c r="AI19" s="239">
        <f>($O$14*AI29)+($O$15*AI39)</f>
        <v>271.98332710280374</v>
      </c>
    </row>
    <row r="20" spans="2:35" s="18" customFormat="1" ht="15.5" x14ac:dyDescent="0.35">
      <c r="B20" s="280" t="s">
        <v>283</v>
      </c>
      <c r="C20" s="281">
        <v>2018</v>
      </c>
      <c r="D20" s="99" t="s">
        <v>295</v>
      </c>
      <c r="E20" s="72" t="s">
        <v>109</v>
      </c>
      <c r="F20" s="99" t="s">
        <v>107</v>
      </c>
      <c r="G20" s="99">
        <v>5</v>
      </c>
      <c r="H20" s="68">
        <v>6.5549900000000001</v>
      </c>
      <c r="I20" s="68">
        <v>9.16798</v>
      </c>
      <c r="J20" s="69">
        <v>11.0495</v>
      </c>
      <c r="K20" s="194"/>
      <c r="L20" s="194"/>
      <c r="M20" s="85" t="s">
        <v>296</v>
      </c>
      <c r="N20" s="86" t="s">
        <v>106</v>
      </c>
      <c r="O20" s="541">
        <f>IF(ROUNDUP(('Increase Corridor Speed'!$H$18/5),0)*5=15,20,ROUNDUP('Increase Corridor Speed'!$H$18/5,0)*5)</f>
        <v>0</v>
      </c>
      <c r="P20" s="86" t="s">
        <v>107</v>
      </c>
      <c r="Q20" s="92" t="e">
        <f t="shared" si="0"/>
        <v>#N/A</v>
      </c>
      <c r="R20" s="190" t="e">
        <f t="shared" si="0"/>
        <v>#N/A</v>
      </c>
      <c r="S20" s="190" t="e">
        <f t="shared" ref="S20" si="2">($O$14*S30)+($O$15*S40)</f>
        <v>#N/A</v>
      </c>
      <c r="U20" s="48" t="s">
        <v>296</v>
      </c>
      <c r="V20" s="45" t="s">
        <v>109</v>
      </c>
      <c r="W20" s="45" t="s">
        <v>204</v>
      </c>
      <c r="X20" s="180">
        <f t="shared" ref="X20:Y23" si="3">($O$14*X25)+($O$15*X30)</f>
        <v>7.9889751401869162</v>
      </c>
      <c r="Y20" s="181">
        <f t="shared" si="3"/>
        <v>2.9743538317757006</v>
      </c>
      <c r="Z20" s="181">
        <f t="shared" ref="Z20" si="4">($O$14*Z25)+($O$15*Z30)</f>
        <v>1.3891573831775701</v>
      </c>
      <c r="AC20" s="85" t="s">
        <v>296</v>
      </c>
      <c r="AD20" s="86" t="s">
        <v>106</v>
      </c>
      <c r="AE20" s="87">
        <v>35</v>
      </c>
      <c r="AF20" s="86" t="s">
        <v>107</v>
      </c>
      <c r="AG20" s="92">
        <f t="shared" ref="AG20:AH20" si="5">($O$14*AG30)+($O$15*AG40)</f>
        <v>355.56436448598129</v>
      </c>
      <c r="AH20" s="190">
        <f t="shared" si="5"/>
        <v>271.98332710280374</v>
      </c>
      <c r="AI20" s="190">
        <f t="shared" ref="AI20" si="6">($O$14*AI30)+($O$15*AI40)</f>
        <v>271.98332710280374</v>
      </c>
    </row>
    <row r="21" spans="2:35" s="18" customFormat="1" ht="15.5" x14ac:dyDescent="0.35">
      <c r="B21" s="280" t="s">
        <v>283</v>
      </c>
      <c r="C21" s="281">
        <v>2018</v>
      </c>
      <c r="D21" s="99" t="s">
        <v>295</v>
      </c>
      <c r="E21" s="72" t="s">
        <v>109</v>
      </c>
      <c r="F21" s="99" t="s">
        <v>107</v>
      </c>
      <c r="G21" s="99">
        <v>10</v>
      </c>
      <c r="H21" s="68">
        <v>4.8962300000000001</v>
      </c>
      <c r="I21" s="68">
        <v>6.7682900000000004</v>
      </c>
      <c r="J21" s="69">
        <v>6.8946699999999996</v>
      </c>
      <c r="K21" s="194"/>
      <c r="L21" s="194"/>
      <c r="M21" s="85" t="s">
        <v>296</v>
      </c>
      <c r="N21" s="86" t="s">
        <v>109</v>
      </c>
      <c r="O21" s="541">
        <f>IF(ROUNDDOWN(('Increase Corridor Speed'!$H$17/5),0)*5 = 15,10,ROUNDDOWN(('Increase Corridor Speed'!$H$17/5),0)*5)</f>
        <v>0</v>
      </c>
      <c r="P21" s="86" t="s">
        <v>107</v>
      </c>
      <c r="Q21" s="92" t="e">
        <f t="shared" si="0"/>
        <v>#N/A</v>
      </c>
      <c r="R21" s="190" t="e">
        <f>($O$14*R31)+($O$15*R41)</f>
        <v>#N/A</v>
      </c>
      <c r="S21" s="190" t="e">
        <f t="shared" ref="S21" si="7">($O$14*S31)+($O$15*S41)</f>
        <v>#N/A</v>
      </c>
      <c r="U21" s="48" t="s">
        <v>296</v>
      </c>
      <c r="V21" s="45" t="s">
        <v>111</v>
      </c>
      <c r="W21" s="45" t="s">
        <v>204</v>
      </c>
      <c r="X21" s="180">
        <f t="shared" si="3"/>
        <v>6.3187687850467286E-2</v>
      </c>
      <c r="Y21" s="181">
        <f t="shared" si="3"/>
        <v>1.5618064485981308E-2</v>
      </c>
      <c r="Z21" s="181">
        <f t="shared" ref="Z21" si="8">($O$14*Z26)+($O$15*Z31)</f>
        <v>9.7644063551401879E-3</v>
      </c>
      <c r="AC21" s="85" t="s">
        <v>296</v>
      </c>
      <c r="AD21" s="86" t="s">
        <v>109</v>
      </c>
      <c r="AE21" s="87">
        <v>35</v>
      </c>
      <c r="AF21" s="86" t="s">
        <v>107</v>
      </c>
      <c r="AG21" s="92">
        <f t="shared" ref="AG21:AH21" si="9">($O$14*AG31)+($O$15*AG41)</f>
        <v>2.8419604672897192</v>
      </c>
      <c r="AH21" s="190">
        <f t="shared" si="9"/>
        <v>1.3522563551401869</v>
      </c>
      <c r="AI21" s="190">
        <f t="shared" ref="AI21" si="10">($O$14*AI31)+($O$15*AI41)</f>
        <v>1.3522563551401869</v>
      </c>
    </row>
    <row r="22" spans="2:35" s="18" customFormat="1" ht="15.5" x14ac:dyDescent="0.35">
      <c r="B22" s="280" t="s">
        <v>283</v>
      </c>
      <c r="C22" s="281">
        <v>2018</v>
      </c>
      <c r="D22" s="99" t="s">
        <v>295</v>
      </c>
      <c r="E22" s="72" t="s">
        <v>109</v>
      </c>
      <c r="F22" s="99" t="s">
        <v>107</v>
      </c>
      <c r="G22" s="99">
        <v>20</v>
      </c>
      <c r="H22" s="68">
        <v>3.8883200000000002</v>
      </c>
      <c r="I22" s="68">
        <v>5.3410299999999999</v>
      </c>
      <c r="J22" s="69">
        <v>4.4088500000000002</v>
      </c>
      <c r="K22" s="194"/>
      <c r="L22" s="194"/>
      <c r="M22" s="85" t="s">
        <v>296</v>
      </c>
      <c r="N22" s="86" t="s">
        <v>109</v>
      </c>
      <c r="O22" s="541">
        <f>IF(ROUNDUP(('Increase Corridor Speed'!$H$18/5),0)*5=15,20,ROUNDUP('Increase Corridor Speed'!$H$18/5,0)*5)</f>
        <v>0</v>
      </c>
      <c r="P22" s="86" t="s">
        <v>107</v>
      </c>
      <c r="Q22" s="92" t="e">
        <f t="shared" si="0"/>
        <v>#N/A</v>
      </c>
      <c r="R22" s="190" t="e">
        <f t="shared" si="0"/>
        <v>#N/A</v>
      </c>
      <c r="S22" s="190" t="e">
        <f t="shared" ref="S22" si="11">($O$14*S32)+($O$15*S42)</f>
        <v>#N/A</v>
      </c>
      <c r="U22" s="48" t="s">
        <v>296</v>
      </c>
      <c r="V22" s="45" t="s">
        <v>113</v>
      </c>
      <c r="W22" s="45" t="s">
        <v>204</v>
      </c>
      <c r="X22" s="180">
        <f t="shared" si="3"/>
        <v>1.2284197757009345</v>
      </c>
      <c r="Y22" s="181">
        <f t="shared" si="3"/>
        <v>0.43097006542056071</v>
      </c>
      <c r="Z22" s="181">
        <f>($O$14*Z27)+($O$15*Z32)</f>
        <v>0.33547693084112146</v>
      </c>
      <c r="AC22" s="85" t="s">
        <v>296</v>
      </c>
      <c r="AD22" s="86" t="s">
        <v>109</v>
      </c>
      <c r="AE22" s="87">
        <v>35</v>
      </c>
      <c r="AF22" s="86" t="s">
        <v>107</v>
      </c>
      <c r="AG22" s="92">
        <f t="shared" ref="AG22:AH22" si="12">($O$14*AG32)+($O$15*AG42)</f>
        <v>2.8419604672897192</v>
      </c>
      <c r="AH22" s="190">
        <f t="shared" si="12"/>
        <v>1.3522563551401869</v>
      </c>
      <c r="AI22" s="190">
        <f t="shared" ref="AI22" si="13">($O$14*AI32)+($O$15*AI42)</f>
        <v>1.3522563551401869</v>
      </c>
    </row>
    <row r="23" spans="2:35" s="18" customFormat="1" ht="15.5" x14ac:dyDescent="0.35">
      <c r="B23" s="280" t="s">
        <v>283</v>
      </c>
      <c r="C23" s="281">
        <v>2018</v>
      </c>
      <c r="D23" s="99" t="s">
        <v>295</v>
      </c>
      <c r="E23" s="72" t="s">
        <v>109</v>
      </c>
      <c r="F23" s="99" t="s">
        <v>107</v>
      </c>
      <c r="G23" s="99">
        <v>25</v>
      </c>
      <c r="H23" s="68">
        <v>4.3433099999999998</v>
      </c>
      <c r="I23" s="68">
        <v>5.9217399999999998</v>
      </c>
      <c r="J23" s="69">
        <v>5.45641</v>
      </c>
      <c r="K23" s="194"/>
      <c r="L23" s="194"/>
      <c r="M23" s="85" t="s">
        <v>296</v>
      </c>
      <c r="N23" s="86" t="s">
        <v>111</v>
      </c>
      <c r="O23" s="541">
        <f>IF(ROUNDDOWN(('Increase Corridor Speed'!$H$17/5),0)*5 = 15,10,ROUNDDOWN(('Increase Corridor Speed'!$H$17/5),0)*5)</f>
        <v>0</v>
      </c>
      <c r="P23" s="86" t="s">
        <v>107</v>
      </c>
      <c r="Q23" s="92" t="e">
        <f t="shared" si="0"/>
        <v>#N/A</v>
      </c>
      <c r="R23" s="190" t="e">
        <f t="shared" si="0"/>
        <v>#N/A</v>
      </c>
      <c r="S23" s="190" t="e">
        <f t="shared" ref="S23" si="14">($O$14*S33)+($O$15*S43)</f>
        <v>#N/A</v>
      </c>
      <c r="U23" s="49" t="s">
        <v>296</v>
      </c>
      <c r="V23" s="50" t="s">
        <v>115</v>
      </c>
      <c r="W23" s="50" t="s">
        <v>204</v>
      </c>
      <c r="X23" s="182">
        <f t="shared" si="3"/>
        <v>0.605169738317757</v>
      </c>
      <c r="Y23" s="183">
        <f t="shared" si="3"/>
        <v>7.8430651401869167E-2</v>
      </c>
      <c r="Z23" s="183">
        <f t="shared" ref="Z23" si="15">($O$14*Z28)+($O$15*Z33)</f>
        <v>6.1415414018691585E-2</v>
      </c>
      <c r="AC23" s="85" t="s">
        <v>296</v>
      </c>
      <c r="AD23" s="86" t="s">
        <v>111</v>
      </c>
      <c r="AE23" s="87">
        <v>35</v>
      </c>
      <c r="AF23" s="86" t="s">
        <v>107</v>
      </c>
      <c r="AG23" s="92">
        <f t="shared" ref="AG23:AH23" si="16">($O$14*AG33)+($O$15*AG43)</f>
        <v>4.8185296261682243E-3</v>
      </c>
      <c r="AH23" s="190">
        <f t="shared" si="16"/>
        <v>1.5563902803738317E-3</v>
      </c>
      <c r="AI23" s="190">
        <f t="shared" ref="AI23" si="17">($O$14*AI33)+($O$15*AI43)</f>
        <v>1.5563902803738317E-3</v>
      </c>
    </row>
    <row r="24" spans="2:35" s="18" customFormat="1" ht="15.5" x14ac:dyDescent="0.35">
      <c r="B24" s="280" t="s">
        <v>283</v>
      </c>
      <c r="C24" s="281">
        <v>2018</v>
      </c>
      <c r="D24" s="99" t="s">
        <v>295</v>
      </c>
      <c r="E24" s="72" t="s">
        <v>109</v>
      </c>
      <c r="F24" s="99" t="s">
        <v>107</v>
      </c>
      <c r="G24" s="99">
        <v>25</v>
      </c>
      <c r="H24" s="68">
        <v>3.2559100000000001</v>
      </c>
      <c r="I24" s="68">
        <v>4.6798700000000002</v>
      </c>
      <c r="J24" s="69">
        <v>3.8935900000000001</v>
      </c>
      <c r="K24" s="194"/>
      <c r="L24" s="194"/>
      <c r="M24" s="85" t="s">
        <v>296</v>
      </c>
      <c r="N24" s="86" t="s">
        <v>111</v>
      </c>
      <c r="O24" s="541">
        <f>IF(ROUNDUP(('Increase Corridor Speed'!$H$18/5),0)*5=15,20,ROUNDUP('Increase Corridor Speed'!$H$18/5,0)*5)</f>
        <v>0</v>
      </c>
      <c r="P24" s="86" t="s">
        <v>107</v>
      </c>
      <c r="Q24" s="92" t="e">
        <f t="shared" si="0"/>
        <v>#N/A</v>
      </c>
      <c r="R24" s="190" t="e">
        <f t="shared" si="0"/>
        <v>#N/A</v>
      </c>
      <c r="S24" s="190" t="e">
        <f t="shared" ref="S24" si="18">($O$14*S34)+($O$15*S44)</f>
        <v>#N/A</v>
      </c>
      <c r="U24" s="53" t="s">
        <v>105</v>
      </c>
      <c r="V24" s="54" t="s">
        <v>106</v>
      </c>
      <c r="W24" s="54" t="s">
        <v>204</v>
      </c>
      <c r="X24" s="178">
        <f>VLOOKUP(V24,'Emission Factors'!$P$3:$S$7,MATCH(U24,'Emission Factors'!$P$2:$S$2,0),0)</f>
        <v>3324.57</v>
      </c>
      <c r="Y24" s="179">
        <f>VLOOKUP(V24,'Emission Factors'!$P$88:$S$92,MATCH(U24,'Emission Factors'!$P$87:$S$87,0),0)</f>
        <v>2527.63</v>
      </c>
      <c r="Z24" s="475">
        <f>VLOOKUP(V24,'Emission Factors'!$P$173:$S$177,MATCH(U24,'Emission Factors'!$P$172:$S$172,0),0)</f>
        <v>2280.92</v>
      </c>
      <c r="AC24" s="85" t="s">
        <v>296</v>
      </c>
      <c r="AD24" s="86" t="s">
        <v>111</v>
      </c>
      <c r="AE24" s="87">
        <v>35</v>
      </c>
      <c r="AF24" s="86" t="s">
        <v>107</v>
      </c>
      <c r="AG24" s="92">
        <f t="shared" ref="AG24:AH24" si="19">($O$14*AG34)+($O$15*AG44)</f>
        <v>4.8185296261682243E-3</v>
      </c>
      <c r="AH24" s="190">
        <f t="shared" si="19"/>
        <v>1.5563902803738317E-3</v>
      </c>
      <c r="AI24" s="190">
        <f t="shared" ref="AI24" si="20">($O$14*AI34)+($O$15*AI44)</f>
        <v>1.5563902803738317E-3</v>
      </c>
    </row>
    <row r="25" spans="2:35" s="18" customFormat="1" ht="15.5" x14ac:dyDescent="0.35">
      <c r="B25" s="280" t="s">
        <v>283</v>
      </c>
      <c r="C25" s="281">
        <v>2018</v>
      </c>
      <c r="D25" s="99" t="s">
        <v>295</v>
      </c>
      <c r="E25" s="72" t="s">
        <v>109</v>
      </c>
      <c r="F25" s="99" t="s">
        <v>107</v>
      </c>
      <c r="G25" s="99">
        <v>30</v>
      </c>
      <c r="H25" s="68">
        <v>3.0960000000000001</v>
      </c>
      <c r="I25" s="68">
        <v>4.3530800000000003</v>
      </c>
      <c r="J25" s="69">
        <v>3.5160499999999999</v>
      </c>
      <c r="K25" s="194"/>
      <c r="L25" s="194"/>
      <c r="M25" s="85" t="s">
        <v>296</v>
      </c>
      <c r="N25" s="86" t="s">
        <v>113</v>
      </c>
      <c r="O25" s="541">
        <f>IF(ROUNDDOWN(('Increase Corridor Speed'!$H$17/5),0)*5 = 15,10,ROUNDDOWN(('Increase Corridor Speed'!$H$17/5),0)*5)</f>
        <v>0</v>
      </c>
      <c r="P25" s="86" t="s">
        <v>107</v>
      </c>
      <c r="Q25" s="92" t="e">
        <f t="shared" si="0"/>
        <v>#N/A</v>
      </c>
      <c r="R25" s="190" t="e">
        <f t="shared" si="0"/>
        <v>#N/A</v>
      </c>
      <c r="S25" s="190" t="e">
        <f t="shared" ref="S25" si="21">($O$14*S35)+($O$15*S45)</f>
        <v>#N/A</v>
      </c>
      <c r="U25" s="48" t="s">
        <v>105</v>
      </c>
      <c r="V25" s="45" t="s">
        <v>109</v>
      </c>
      <c r="W25" s="45" t="s">
        <v>204</v>
      </c>
      <c r="X25" s="180">
        <f>VLOOKUP(V25,'Emission Factors'!$P$3:$S$7,MATCH(U25,'Emission Factors'!$P$2:$S$2,0),0)</f>
        <v>7.6023800000000001</v>
      </c>
      <c r="Y25" s="181">
        <f>VLOOKUP(V25,'Emission Factors'!$P$88:$S$92,MATCH(U25,'Emission Factors'!$P$87:$S$87,0),0)</f>
        <v>2.7048199999999998</v>
      </c>
      <c r="Z25" s="476">
        <f>VLOOKUP(V25,'Emission Factors'!$P$173:$S$177,MATCH(U25,'Emission Factors'!$P$172:$S$172,0),0)</f>
        <v>1.14612</v>
      </c>
      <c r="AC25" s="85" t="s">
        <v>296</v>
      </c>
      <c r="AD25" s="86" t="s">
        <v>113</v>
      </c>
      <c r="AE25" s="87">
        <v>35</v>
      </c>
      <c r="AF25" s="86" t="s">
        <v>107</v>
      </c>
      <c r="AG25" s="92">
        <f t="shared" ref="AG25:AH25" si="22">($O$14*AG35)+($O$15*AG45)</f>
        <v>0.34835785981308409</v>
      </c>
      <c r="AH25" s="190">
        <f t="shared" si="22"/>
        <v>8.2715453271028028E-2</v>
      </c>
      <c r="AI25" s="190">
        <f t="shared" ref="AI25" si="23">($O$14*AI35)+($O$15*AI45)</f>
        <v>8.2715453271028028E-2</v>
      </c>
    </row>
    <row r="26" spans="2:35" s="18" customFormat="1" ht="15.5" x14ac:dyDescent="0.35">
      <c r="B26" s="280" t="s">
        <v>283</v>
      </c>
      <c r="C26" s="281">
        <v>2018</v>
      </c>
      <c r="D26" s="99" t="s">
        <v>295</v>
      </c>
      <c r="E26" s="72" t="s">
        <v>109</v>
      </c>
      <c r="F26" s="99" t="s">
        <v>107</v>
      </c>
      <c r="G26" s="99">
        <v>35</v>
      </c>
      <c r="H26" s="68">
        <v>2.8012299999999999</v>
      </c>
      <c r="I26" s="68">
        <v>3.8907699999999998</v>
      </c>
      <c r="J26" s="69">
        <v>3.0476200000000002</v>
      </c>
      <c r="K26" s="194"/>
      <c r="L26" s="194"/>
      <c r="M26" s="85" t="s">
        <v>296</v>
      </c>
      <c r="N26" s="86" t="s">
        <v>113</v>
      </c>
      <c r="O26" s="541">
        <f>IF(ROUNDUP(('Increase Corridor Speed'!$H$18/5),0)*5=15,20,ROUNDUP('Increase Corridor Speed'!$H$18/5,0)*5)</f>
        <v>0</v>
      </c>
      <c r="P26" s="86" t="s">
        <v>107</v>
      </c>
      <c r="Q26" s="92" t="e">
        <f t="shared" si="0"/>
        <v>#N/A</v>
      </c>
      <c r="R26" s="190" t="e">
        <f t="shared" si="0"/>
        <v>#N/A</v>
      </c>
      <c r="S26" s="190" t="e">
        <f t="shared" ref="S26" si="24">($O$14*S36)+($O$15*S46)</f>
        <v>#N/A</v>
      </c>
      <c r="U26" s="48" t="s">
        <v>105</v>
      </c>
      <c r="V26" s="45" t="s">
        <v>111</v>
      </c>
      <c r="W26" s="45" t="s">
        <v>204</v>
      </c>
      <c r="X26" s="180">
        <f>VLOOKUP(V26,'Emission Factors'!$P$3:$S$7,MATCH(U26,'Emission Factors'!$P$2:$S$2,0),0)</f>
        <v>4.4586199999999999E-2</v>
      </c>
      <c r="Y26" s="181">
        <f>VLOOKUP(V26,'Emission Factors'!$P$88:$S$92,MATCH(U26,'Emission Factors'!$P$87:$S$87,0),0)</f>
        <v>1.43207E-2</v>
      </c>
      <c r="Z26" s="476">
        <f>VLOOKUP(V26,'Emission Factors'!$P$173:$S$177,MATCH(U26,'Emission Factors'!$P$172:$S$172,0),0)</f>
        <v>9.4847600000000001E-3</v>
      </c>
      <c r="AC26" s="85" t="s">
        <v>296</v>
      </c>
      <c r="AD26" s="86" t="s">
        <v>113</v>
      </c>
      <c r="AE26" s="87">
        <v>35</v>
      </c>
      <c r="AF26" s="86" t="s">
        <v>107</v>
      </c>
      <c r="AG26" s="92">
        <f t="shared" ref="AG26:AH26" si="25">($O$14*AG36)+($O$15*AG46)</f>
        <v>0.34835785981308409</v>
      </c>
      <c r="AH26" s="190">
        <f t="shared" si="25"/>
        <v>8.2715453271028028E-2</v>
      </c>
      <c r="AI26" s="190">
        <f t="shared" ref="AI26" si="26">($O$14*AI36)+($O$15*AI46)</f>
        <v>8.2715453271028028E-2</v>
      </c>
    </row>
    <row r="27" spans="2:35" s="18" customFormat="1" ht="15.5" x14ac:dyDescent="0.35">
      <c r="B27" s="280" t="s">
        <v>283</v>
      </c>
      <c r="C27" s="281">
        <v>2018</v>
      </c>
      <c r="D27" s="99" t="s">
        <v>295</v>
      </c>
      <c r="E27" s="72" t="s">
        <v>109</v>
      </c>
      <c r="F27" s="99" t="s">
        <v>107</v>
      </c>
      <c r="G27" s="99">
        <v>40</v>
      </c>
      <c r="H27" s="68">
        <v>2.5353599999999998</v>
      </c>
      <c r="I27" s="68">
        <v>3.5756000000000001</v>
      </c>
      <c r="J27" s="69">
        <v>2.82544</v>
      </c>
      <c r="K27" s="194"/>
      <c r="L27" s="194"/>
      <c r="M27" s="85" t="s">
        <v>296</v>
      </c>
      <c r="N27" s="86" t="s">
        <v>115</v>
      </c>
      <c r="O27" s="541">
        <f>IF(ROUNDDOWN(('Increase Corridor Speed'!$H$17/5),0)*5 = 15,10,ROUNDDOWN(('Increase Corridor Speed'!$H$17/5),0)*5)</f>
        <v>0</v>
      </c>
      <c r="P27" s="86" t="s">
        <v>107</v>
      </c>
      <c r="Q27" s="92" t="e">
        <f t="shared" si="0"/>
        <v>#N/A</v>
      </c>
      <c r="R27" s="190" t="e">
        <f t="shared" si="0"/>
        <v>#N/A</v>
      </c>
      <c r="S27" s="190" t="e">
        <f t="shared" ref="S27" si="27">($O$14*S37)+($O$15*S47)</f>
        <v>#N/A</v>
      </c>
      <c r="U27" s="48" t="s">
        <v>105</v>
      </c>
      <c r="V27" s="45" t="s">
        <v>113</v>
      </c>
      <c r="W27" s="45" t="s">
        <v>204</v>
      </c>
      <c r="X27" s="180">
        <f>VLOOKUP(V27,'Emission Factors'!$P$3:$S$7,MATCH(U27,'Emission Factors'!$P$2:$S$2,0),0)</f>
        <v>0.78017199999999998</v>
      </c>
      <c r="Y27" s="181">
        <f>VLOOKUP(V27,'Emission Factors'!$P$88:$S$92,MATCH(U27,'Emission Factors'!$P$87:$S$87,0),0)</f>
        <v>0.14817900000000001</v>
      </c>
      <c r="Z27" s="476">
        <f>VLOOKUP(V27,'Emission Factors'!$P$173:$S$177,MATCH(U27,'Emission Factors'!$P$172:$S$172,0),0)</f>
        <v>6.9597199999999998E-2</v>
      </c>
      <c r="AC27" s="85" t="s">
        <v>296</v>
      </c>
      <c r="AD27" s="86" t="s">
        <v>115</v>
      </c>
      <c r="AE27" s="87">
        <v>35</v>
      </c>
      <c r="AF27" s="86" t="s">
        <v>107</v>
      </c>
      <c r="AG27" s="92">
        <f t="shared" ref="AG27:AH27" si="28">($O$14*AG37)+($O$15*AG47)</f>
        <v>6.8872954205607476E-2</v>
      </c>
      <c r="AH27" s="190">
        <f t="shared" si="28"/>
        <v>1.744109719626168E-2</v>
      </c>
      <c r="AI27" s="190">
        <f t="shared" ref="AI27" si="29">($O$14*AI37)+($O$15*AI47)</f>
        <v>1.744109719626168E-2</v>
      </c>
    </row>
    <row r="28" spans="2:35" s="18" customFormat="1" ht="15.5" x14ac:dyDescent="0.35">
      <c r="B28" s="280" t="s">
        <v>283</v>
      </c>
      <c r="C28" s="281">
        <v>2018</v>
      </c>
      <c r="D28" s="99" t="s">
        <v>295</v>
      </c>
      <c r="E28" s="72" t="s">
        <v>109</v>
      </c>
      <c r="F28" s="99" t="s">
        <v>107</v>
      </c>
      <c r="G28" s="99">
        <v>45</v>
      </c>
      <c r="H28" s="68">
        <v>2.3721999999999999</v>
      </c>
      <c r="I28" s="68">
        <v>3.3536199999999998</v>
      </c>
      <c r="J28" s="69">
        <v>2.6526399999999999</v>
      </c>
      <c r="K28" s="194"/>
      <c r="L28" s="194"/>
      <c r="M28" s="91" t="s">
        <v>296</v>
      </c>
      <c r="N28" s="54" t="s">
        <v>115</v>
      </c>
      <c r="O28" s="542">
        <f>IF(ROUNDUP(('Increase Corridor Speed'!$H$18/5),0)*5=15,20,ROUNDUP('Increase Corridor Speed'!$H$18/5,0)*5)</f>
        <v>0</v>
      </c>
      <c r="P28" s="54" t="s">
        <v>107</v>
      </c>
      <c r="Q28" s="233" t="e">
        <f t="shared" si="0"/>
        <v>#N/A</v>
      </c>
      <c r="R28" s="234" t="e">
        <f t="shared" si="0"/>
        <v>#N/A</v>
      </c>
      <c r="S28" s="190" t="e">
        <f t="shared" ref="S28" si="30">($O$14*S38)+($O$15*S48)</f>
        <v>#N/A</v>
      </c>
      <c r="U28" s="49" t="s">
        <v>105</v>
      </c>
      <c r="V28" s="50" t="s">
        <v>115</v>
      </c>
      <c r="W28" s="50" t="s">
        <v>204</v>
      </c>
      <c r="X28" s="182">
        <f>VLOOKUP(V28,'Emission Factors'!$P$3:$S$7,MATCH(U28,'Emission Factors'!$P$2:$S$2,0),0)</f>
        <v>0.53997399999999995</v>
      </c>
      <c r="Y28" s="183">
        <f>VLOOKUP(V28,'Emission Factors'!$P$88:$S$92,MATCH(U28,'Emission Factors'!$P$87:$S$87,0),0)</f>
        <v>6.3893900000000003E-2</v>
      </c>
      <c r="Z28" s="477">
        <f>VLOOKUP(V28,'Emission Factors'!$P$173:$S$177,MATCH(U28,'Emission Factors'!$P$172:$S$172,0),0)</f>
        <v>5.0933100000000002E-2</v>
      </c>
      <c r="AC28" s="91" t="s">
        <v>296</v>
      </c>
      <c r="AD28" s="54" t="s">
        <v>115</v>
      </c>
      <c r="AE28" s="232">
        <v>35</v>
      </c>
      <c r="AF28" s="54" t="s">
        <v>107</v>
      </c>
      <c r="AG28" s="233">
        <f t="shared" ref="AG28:AH28" si="31">($O$14*AG38)+($O$15*AG48)</f>
        <v>6.8872954205607476E-2</v>
      </c>
      <c r="AH28" s="234">
        <f t="shared" si="31"/>
        <v>1.744109719626168E-2</v>
      </c>
      <c r="AI28" s="190">
        <f t="shared" ref="AI28" si="32">($O$14*AI38)+($O$15*AI48)</f>
        <v>1.744109719626168E-2</v>
      </c>
    </row>
    <row r="29" spans="2:35" s="18" customFormat="1" ht="15.5" x14ac:dyDescent="0.35">
      <c r="B29" s="280" t="s">
        <v>283</v>
      </c>
      <c r="C29" s="281">
        <v>2018</v>
      </c>
      <c r="D29" s="99" t="s">
        <v>295</v>
      </c>
      <c r="E29" s="72" t="s">
        <v>109</v>
      </c>
      <c r="F29" s="99" t="s">
        <v>107</v>
      </c>
      <c r="G29" s="99">
        <v>50</v>
      </c>
      <c r="H29" s="68">
        <v>2.3156400000000001</v>
      </c>
      <c r="I29" s="68">
        <v>3.2148500000000002</v>
      </c>
      <c r="J29" s="69">
        <v>2.4798399999999998</v>
      </c>
      <c r="K29" s="194"/>
      <c r="L29" s="194"/>
      <c r="M29" s="236" t="s">
        <v>105</v>
      </c>
      <c r="N29" s="229" t="s">
        <v>106</v>
      </c>
      <c r="O29" s="540">
        <f>IF(ROUNDDOWN(('Increase Corridor Speed'!$H$17/5),0)*5 = 15,10,ROUNDDOWN(('Increase Corridor Speed'!$H$17/5),0)*5)</f>
        <v>0</v>
      </c>
      <c r="P29" s="229" t="s">
        <v>107</v>
      </c>
      <c r="Q29" s="238" t="e">
        <f>IF(N29="CO2eq",VLOOKUP(O29,'Emission Factors'!$G$3:$J$18,MATCH(M29,'Emission Factors'!$G$2:$J$2,0),0),IF(N29="CO",VLOOKUP($O29,'Emission Factors'!$G$19:$J$34,MATCH(M29,'Emission Factors'!$G$2:$J$2,0),0),IF(N29="PM2.5",VLOOKUP(O29,'Emission Factors'!$G$35:$J$50,MATCH(M29,'Emission Factors'!$G$2:$J$2,0),0),IF(N29="NOx",VLOOKUP(O29,'Emission Factors'!$G$51:$J$66,MATCH(M29,'Emission Factors'!$G$2:$J$2,0),0),VLOOKUP(O29,'Emission Factors'!$G$67:$J$82,MATCH(M29,'Emission Factors'!$G$2:$J$2,0),0)))))</f>
        <v>#N/A</v>
      </c>
      <c r="R29" s="467" t="e">
        <f>IF($N29="CO2eq",VLOOKUP($O29,'Emission Factors'!$G$88:$J$103,MATCH($M29,'Emission Factors'!$G$87:$J$87,0),0),IF(N29="CO",VLOOKUP($O29,'Emission Factors'!$G$104:$J$119,MATCH(M29,'Emission Factors'!$G$87:$J$87,0),0),IF(N29="PM2.5",VLOOKUP(O29,'Emission Factors'!$G$120:$J$135,MATCH(M29,'Emission Factors'!$G$87:$J$87,0),0),IF(N29="NOx",VLOOKUP(O29,'Emission Factors'!$G$136:$J$151,MATCH(M29,'Emission Factors'!$G$87:$J$87,0),0),VLOOKUP(O29,'Emission Factors'!$G$152:$J$167,MATCH(M29,'Emission Factors'!$G$87:$J$87,0),0)))))</f>
        <v>#N/A</v>
      </c>
      <c r="S29" s="472" t="e">
        <f>IF($N29="CO2eq",VLOOKUP($O29,'Emission Factors'!$G$173:$J$188,MATCH($M29,'Emission Factors'!$G$172:$J$172,0),0),IF(N29="CO",VLOOKUP($O29,'Emission Factors'!$G$189:$J$204,MATCH(M29,'Emission Factors'!$G$87:$J$87,0),0),IF(N29="PM2.5",VLOOKUP(O29,'Emission Factors'!$G$205:$J$220,MATCH(M29,'Emission Factors'!$G$87:$J$87,0),0),IF(N29="NOx",VLOOKUP(O29,'Emission Factors'!$G$221:$J$236,MATCH(M29,'Emission Factors'!$G$87:$J$87,0),0),VLOOKUP(O29,'Emission Factors'!$G$237:$J$252,MATCH(M29,'Emission Factors'!$G$87:$J$87,0),0)))))</f>
        <v>#N/A</v>
      </c>
      <c r="U29" s="53" t="s">
        <v>242</v>
      </c>
      <c r="V29" s="54" t="s">
        <v>106</v>
      </c>
      <c r="W29" s="54" t="s">
        <v>204</v>
      </c>
      <c r="X29" s="178">
        <f>VLOOKUP(V29,'Emission Factors'!$P$3:$S$7,MATCH(U29,'Emission Factors'!$P$2:$S$2,0),0)</f>
        <v>5200.71</v>
      </c>
      <c r="Y29" s="179">
        <f>VLOOKUP(V29,'Emission Factors'!$P$88:$S$92,MATCH(U29,'Emission Factors'!$P$87:$S$87,0),0)</f>
        <v>4320.74</v>
      </c>
      <c r="Z29" s="476">
        <f>VLOOKUP(V29,'Emission Factors'!$P$173:$S$177,MATCH(U29,'Emission Factors'!$P$172:$S$172,0),0)</f>
        <v>3978.79</v>
      </c>
      <c r="AC29" s="236" t="s">
        <v>105</v>
      </c>
      <c r="AD29" s="229" t="s">
        <v>106</v>
      </c>
      <c r="AE29" s="237">
        <v>35</v>
      </c>
      <c r="AF29" s="229" t="s">
        <v>107</v>
      </c>
      <c r="AG29" s="238">
        <f>IF(AD29="CO2eq",VLOOKUP(AE29,'Emission Factors'!$G$3:$J$18,MATCH(AC29,'Emission Factors'!$G$2:$J$2,0),0),IF(AD29="CO",VLOOKUP($AE29,'Emission Factors'!$G$19:$J$34,MATCH(AC29,'Emission Factors'!$G$2:$J$2,0),0),IF(AD29="PM2.5",VLOOKUP(AE29,'Emission Factors'!$G$35:$J$50,MATCH(AC29,'Emission Factors'!$G$2:$J$2,0),0),IF(AD29="NOx",VLOOKUP(AE29,'Emission Factors'!$G$51:$J$66,MATCH(AC29,'Emission Factors'!$G$2:$J$2,0),0),VLOOKUP(AE29,'Emission Factors'!$G$67:$J$82,MATCH(AC29,'Emission Factors'!$G$2:$J$2,0),0)))))</f>
        <v>345.99299999999999</v>
      </c>
      <c r="AH29" s="467">
        <f>IF($AD29="CO2eq",VLOOKUP($AE29,'Emission Factors'!$G$88:$J$103,MATCH($AC29,'Emission Factors'!$G$87:$J$87,0),0),IF(AD29="CO",VLOOKUP($AE29,'Emission Factors'!$G$104:$J$119,MATCH(AC29,'Emission Factors'!$G$87:$J$87,0),0),IF(AD29="PM2.5",VLOOKUP(AE29,'Emission Factors'!$G$120:$J$135,MATCH(AC29,'Emission Factors'!$G$87:$J$87,0),0),IF(AD29="NOx",VLOOKUP(AE29,'Emission Factors'!$G$136:$J$151,MATCH(AC29,'Emission Factors'!$G$87:$J$87,0),0),VLOOKUP(AE29,'Emission Factors'!$G$152:$J$167,MATCH(AC29,'Emission Factors'!$G$87:$J$87,0),0)))))</f>
        <v>263.82799999999997</v>
      </c>
      <c r="AI29" s="472">
        <f>IF($AD29="CO2eq",VLOOKUP($AE29,'Emission Factors'!$G$88:$J$103,MATCH($AC29,'Emission Factors'!$G$87:$J$87,0),0),IF(AD29="CO",VLOOKUP($AE29,'Emission Factors'!$G$104:$J$119,MATCH(AC29,'Emission Factors'!$G$87:$J$87,0),0),IF(AD29="PM2.5",VLOOKUP(AE29,'Emission Factors'!$G$120:$J$135,MATCH(AC29,'Emission Factors'!$G$87:$J$87,0),0),IF(AD29="NOx",VLOOKUP(AE29,'Emission Factors'!$G$136:$J$151,MATCH(AC29,'Emission Factors'!$G$87:$J$87,0),0),VLOOKUP(AE29,'Emission Factors'!$G$152:$J$167,MATCH(AC29,'Emission Factors'!$G$87:$J$87,0),0)))))</f>
        <v>263.82799999999997</v>
      </c>
    </row>
    <row r="30" spans="2:35" s="18" customFormat="1" ht="15.5" x14ac:dyDescent="0.35">
      <c r="B30" s="280" t="s">
        <v>283</v>
      </c>
      <c r="C30" s="281">
        <v>2018</v>
      </c>
      <c r="D30" s="99" t="s">
        <v>295</v>
      </c>
      <c r="E30" s="72" t="s">
        <v>109</v>
      </c>
      <c r="F30" s="99" t="s">
        <v>107</v>
      </c>
      <c r="G30" s="99">
        <v>55</v>
      </c>
      <c r="H30" s="68">
        <v>2.3244899999999999</v>
      </c>
      <c r="I30" s="68">
        <v>3.1483699999999999</v>
      </c>
      <c r="J30" s="69">
        <v>2.3274400000000002</v>
      </c>
      <c r="K30" s="194"/>
      <c r="L30" s="194"/>
      <c r="M30" s="85" t="s">
        <v>105</v>
      </c>
      <c r="N30" s="86" t="s">
        <v>106</v>
      </c>
      <c r="O30" s="541">
        <f>IF(ROUNDUP(('Increase Corridor Speed'!$H$18/5),0)*5=15,20,ROUNDUP('Increase Corridor Speed'!$H$18/5,0)*5)</f>
        <v>0</v>
      </c>
      <c r="P30" s="86" t="s">
        <v>107</v>
      </c>
      <c r="Q30" s="92" t="e">
        <f>IF(N30="CO2eq",VLOOKUP(O30,'Emission Factors'!$G$3:$J$18,MATCH(M30,'Emission Factors'!$G$2:$J$2,0),0),IF(N30="CO",VLOOKUP($O30,'Emission Factors'!$G$19:$J$34,MATCH(M30,'Emission Factors'!$G$2:$J$2,0),0),IF(N30="PM2.5",VLOOKUP(O30,'Emission Factors'!$G$35:$J$50,MATCH(M30,'Emission Factors'!$G$2:$J$2,0),0),IF(N30="NOx",VLOOKUP(O30,'Emission Factors'!$G$51:$J$66,MATCH(M30,'Emission Factors'!$G$2:$J$2,0),0),VLOOKUP(O30,'Emission Factors'!$G$67:$J$82,MATCH(M30,'Emission Factors'!$G$2:$J$2,0),0)))))</f>
        <v>#N/A</v>
      </c>
      <c r="R30" s="468" t="e">
        <f>IF($N30="CO2eq",VLOOKUP($O30,'Emission Factors'!$G$88:$J$103,MATCH($M30,'Emission Factors'!$G$87:$J$87,0),0),IF(N30="CO",VLOOKUP($O30,'Emission Factors'!$G$104:$J$119,MATCH(M30,'Emission Factors'!$G$87:$J$87,0),0),IF(N30="PM2.5",VLOOKUP(O30,'Emission Factors'!$G$120:$J$135,MATCH(M30,'Emission Factors'!$G$87:$J$87,0),0),IF(N30="NOx",VLOOKUP(O30,'Emission Factors'!$G$136:$J$151,MATCH(M30,'Emission Factors'!$G$87:$J$87,0),0),VLOOKUP(O30,'Emission Factors'!$G$152:$J$167,MATCH(M30,'Emission Factors'!$G$87:$J$87,0),0)))))</f>
        <v>#N/A</v>
      </c>
      <c r="S30" s="473" t="e">
        <f>IF($N30="CO2eq",VLOOKUP($O30,'Emission Factors'!$G$173:$J$188,MATCH($M30,'Emission Factors'!$G$172:$J$172,0),0),IF(N30="CO",VLOOKUP($O30,'Emission Factors'!$G$189:$J$204,MATCH(M30,'Emission Factors'!$G$87:$J$87,0),0),IF(N30="PM2.5",VLOOKUP(O30,'Emission Factors'!$G$205:$J$220,MATCH(M30,'Emission Factors'!$G$87:$J$87,0),0),IF(N30="NOx",VLOOKUP(O30,'Emission Factors'!$G$221:$J$236,MATCH(M30,'Emission Factors'!$G$87:$J$87,0),0),VLOOKUP(O30,'Emission Factors'!$G$237:$J$252,MATCH(M30,'Emission Factors'!$G$87:$J$87,0),0)))))</f>
        <v>#N/A</v>
      </c>
      <c r="U30" s="48" t="s">
        <v>242</v>
      </c>
      <c r="V30" s="45" t="s">
        <v>109</v>
      </c>
      <c r="W30" s="45" t="s">
        <v>204</v>
      </c>
      <c r="X30" s="180">
        <f>VLOOKUP(V30,'Emission Factors'!$P$3:$S$7,MATCH(U30,'Emission Factors'!$P$2:$S$2,0),0)</f>
        <v>17.9438</v>
      </c>
      <c r="Y30" s="181">
        <f>VLOOKUP(V30,'Emission Factors'!$P$88:$S$92,MATCH(U30,'Emission Factors'!$P$87:$S$87,0),0)</f>
        <v>9.9148499999999995</v>
      </c>
      <c r="Z30" s="476">
        <f>VLOOKUP(V30,'Emission Factors'!$P$173:$S$177,MATCH(U30,'Emission Factors'!$P$172:$S$172,0),0)</f>
        <v>7.6473699999999996</v>
      </c>
      <c r="AC30" s="85" t="s">
        <v>105</v>
      </c>
      <c r="AD30" s="86" t="s">
        <v>106</v>
      </c>
      <c r="AE30" s="87">
        <v>35</v>
      </c>
      <c r="AF30" s="86" t="s">
        <v>107</v>
      </c>
      <c r="AG30" s="92">
        <f>IF(AD30="CO2eq",VLOOKUP(AE30,'Emission Factors'!$G$3:$J$18,MATCH(AC30,'Emission Factors'!$G$2:$J$2,0),0),IF(AD30="CO",VLOOKUP($AE30,'Emission Factors'!$G$19:$J$34,MATCH(AC30,'Emission Factors'!$G$2:$J$2,0),0),IF(AD30="PM2.5",VLOOKUP(AE30,'Emission Factors'!$G$35:$J$50,MATCH(AC30,'Emission Factors'!$G$2:$J$2,0),0),IF(AD30="NOx",VLOOKUP(AE30,'Emission Factors'!$G$51:$J$66,MATCH(AC30,'Emission Factors'!$G$2:$J$2,0),0),VLOOKUP(AE30,'Emission Factors'!$G$67:$J$82,MATCH(AC30,'Emission Factors'!$G$2:$J$2,0),0)))))</f>
        <v>345.99299999999999</v>
      </c>
      <c r="AH30" s="468">
        <f>IF($AD30="CO2eq",VLOOKUP($AE30,'Emission Factors'!$G$88:$J$103,MATCH($AC30,'Emission Factors'!$G$87:$J$87,0),0),IF(AD30="CO",VLOOKUP($AE30,'Emission Factors'!$G$104:$J$119,MATCH(AC30,'Emission Factors'!$G$87:$J$87,0),0),IF(AD30="PM2.5",VLOOKUP(AE30,'Emission Factors'!$G$120:$J$135,MATCH(AC30,'Emission Factors'!$G$87:$J$87,0),0),IF(AD30="NOx",VLOOKUP(AE30,'Emission Factors'!$G$136:$J$151,MATCH(AC30,'Emission Factors'!$G$87:$J$87,0),0),VLOOKUP(AE30,'Emission Factors'!$G$152:$J$167,MATCH(AC30,'Emission Factors'!$G$87:$J$87,0),0)))))</f>
        <v>263.82799999999997</v>
      </c>
      <c r="AI30" s="473">
        <f>IF($AD30="CO2eq",VLOOKUP($AE30,'Emission Factors'!$G$88:$J$103,MATCH($AC30,'Emission Factors'!$G$87:$J$87,0),0),IF(AD30="CO",VLOOKUP($AE30,'Emission Factors'!$G$104:$J$119,MATCH(AC30,'Emission Factors'!$G$87:$J$87,0),0),IF(AD30="PM2.5",VLOOKUP(AE30,'Emission Factors'!$G$120:$J$135,MATCH(AC30,'Emission Factors'!$G$87:$J$87,0),0),IF(AD30="NOx",VLOOKUP(AE30,'Emission Factors'!$G$136:$J$151,MATCH(AC30,'Emission Factors'!$G$87:$J$87,0),0),VLOOKUP(AE30,'Emission Factors'!$G$152:$J$167,MATCH(AC30,'Emission Factors'!$G$87:$J$87,0),0)))))</f>
        <v>263.82799999999997</v>
      </c>
    </row>
    <row r="31" spans="2:35" s="18" customFormat="1" ht="15.5" x14ac:dyDescent="0.35">
      <c r="B31" s="280" t="s">
        <v>283</v>
      </c>
      <c r="C31" s="281">
        <v>2018</v>
      </c>
      <c r="D31" s="99" t="s">
        <v>295</v>
      </c>
      <c r="E31" s="72" t="s">
        <v>109</v>
      </c>
      <c r="F31" s="99" t="s">
        <v>107</v>
      </c>
      <c r="G31" s="99">
        <v>60</v>
      </c>
      <c r="H31" s="68">
        <v>2.3975599999999999</v>
      </c>
      <c r="I31" s="68">
        <v>3.1452</v>
      </c>
      <c r="J31" s="69">
        <v>2.2649400000000002</v>
      </c>
      <c r="K31" s="194"/>
      <c r="L31" s="194"/>
      <c r="M31" s="85" t="s">
        <v>105</v>
      </c>
      <c r="N31" s="86" t="s">
        <v>109</v>
      </c>
      <c r="O31" s="541">
        <f>IF(ROUNDDOWN(('Increase Corridor Speed'!$H$17/5),0)*5 = 15,10,ROUNDDOWN(('Increase Corridor Speed'!$H$17/5),0)*5)</f>
        <v>0</v>
      </c>
      <c r="P31" s="86" t="s">
        <v>107</v>
      </c>
      <c r="Q31" s="92" t="e">
        <f>IF(N31="CO2eq",VLOOKUP(O31,'Emission Factors'!$G$3:$J$18,MATCH(M31,'Emission Factors'!$G$2:$J$2,0),0),IF(N31="CO",VLOOKUP($O31,'Emission Factors'!$G$19:$J$34,MATCH(M31,'Emission Factors'!$G$2:$J$2,0),0),IF(N31="PM2.5",VLOOKUP(O31,'Emission Factors'!$G$35:$J$50,MATCH(M31,'Emission Factors'!$G$2:$J$2,0),0),IF(N31="NOx",VLOOKUP(O31,'Emission Factors'!$G$51:$J$66,MATCH(M31,'Emission Factors'!$G$2:$J$2,0),0),VLOOKUP(O31,'Emission Factors'!$G$67:$J$82,MATCH(M31,'Emission Factors'!$G$2:$J$2,0),0)))))</f>
        <v>#N/A</v>
      </c>
      <c r="R31" s="468" t="e">
        <f>IF($N31="CO2eq",VLOOKUP($O31,'Emission Factors'!$G$88:$J$103,MATCH($M31,'Emission Factors'!$G$87:$J$87,0),0),IF(N31="CO",VLOOKUP($O31,'Emission Factors'!$G$104:$J$119,MATCH(M31,'Emission Factors'!$G$87:$J$87,0),0),IF(N31="PM2.5",VLOOKUP(O31,'Emission Factors'!$G$120:$J$135,MATCH(M31,'Emission Factors'!$G$87:$J$87,0),0),IF(N31="NOx",VLOOKUP(O31,'Emission Factors'!$G$136:$J$151,MATCH(M31,'Emission Factors'!$G$87:$J$87,0),0),VLOOKUP(O31,'Emission Factors'!$G$152:$J$167,MATCH(M31,'Emission Factors'!$G$87:$J$87,0),0)))))</f>
        <v>#N/A</v>
      </c>
      <c r="S31" s="473" t="e">
        <f>IF($N31="CO2eq",VLOOKUP($O31,'Emission Factors'!$G$173:$J$188,MATCH($M31,'Emission Factors'!$G$172:$J$172,0),0),IF(N31="CO",VLOOKUP($O31,'Emission Factors'!$G$189:$J$204,MATCH(M31,'Emission Factors'!$G$87:$J$87,0),0),IF(N31="PM2.5",VLOOKUP(O31,'Emission Factors'!$G$205:$J$220,MATCH(M31,'Emission Factors'!$G$87:$J$87,0),0),IF(N31="NOx",VLOOKUP(O31,'Emission Factors'!$G$221:$J$236,MATCH(M31,'Emission Factors'!$G$87:$J$87,0),0),VLOOKUP(O31,'Emission Factors'!$G$237:$J$252,MATCH(M31,'Emission Factors'!$G$87:$J$87,0),0)))))</f>
        <v>#N/A</v>
      </c>
      <c r="U31" s="48" t="s">
        <v>242</v>
      </c>
      <c r="V31" s="45" t="s">
        <v>111</v>
      </c>
      <c r="W31" s="45" t="s">
        <v>204</v>
      </c>
      <c r="X31" s="180">
        <f>VLOOKUP(V31,'Emission Factors'!$P$3:$S$7,MATCH(U31,'Emission Factors'!$P$2:$S$2,0),0)</f>
        <v>0.54217599999999999</v>
      </c>
      <c r="Y31" s="181">
        <f>VLOOKUP(V31,'Emission Factors'!$P$88:$S$92,MATCH(U31,'Emission Factors'!$P$87:$S$87,0),0)</f>
        <v>4.9025199999999998E-2</v>
      </c>
      <c r="Z31" s="476">
        <f>VLOOKUP(V31,'Emission Factors'!$P$173:$S$177,MATCH(U31,'Emission Factors'!$P$172:$S$172,0),0)</f>
        <v>1.6965299999999999E-2</v>
      </c>
      <c r="AC31" s="85" t="s">
        <v>105</v>
      </c>
      <c r="AD31" s="86" t="s">
        <v>109</v>
      </c>
      <c r="AE31" s="87">
        <v>35</v>
      </c>
      <c r="AF31" s="86" t="s">
        <v>107</v>
      </c>
      <c r="AG31" s="92">
        <f>IF(AD31="CO2eq",VLOOKUP(AE31,'Emission Factors'!$G$3:$J$18,MATCH(AC31,'Emission Factors'!$G$2:$J$2,0),0),IF(AD31="CO",VLOOKUP($AE31,'Emission Factors'!$G$19:$J$34,MATCH(AC31,'Emission Factors'!$G$2:$J$2,0),0),IF(AD31="PM2.5",VLOOKUP(AE31,'Emission Factors'!$G$35:$J$50,MATCH(AC31,'Emission Factors'!$G$2:$J$2,0),0),IF(AD31="NOx",VLOOKUP(AE31,'Emission Factors'!$G$51:$J$66,MATCH(AC31,'Emission Factors'!$G$2:$J$2,0),0),VLOOKUP(AE31,'Emission Factors'!$G$67:$J$82,MATCH(AC31,'Emission Factors'!$G$2:$J$2,0),0)))))</f>
        <v>2.8012299999999999</v>
      </c>
      <c r="AH31" s="468">
        <f>IF($AD31="CO2eq",VLOOKUP($AE31,'Emission Factors'!$G$88:$J$103,MATCH($AC31,'Emission Factors'!$G$87:$J$87,0),0),IF(AD31="CO",VLOOKUP($AE31,'Emission Factors'!$G$104:$J$119,MATCH(AC31,'Emission Factors'!$G$87:$J$87,0),0),IF(AD31="PM2.5",VLOOKUP(AE31,'Emission Factors'!$G$120:$J$135,MATCH(AC31,'Emission Factors'!$G$87:$J$87,0),0),IF(AD31="NOx",VLOOKUP(AE31,'Emission Factors'!$G$136:$J$151,MATCH(AC31,'Emission Factors'!$G$87:$J$87,0),0),VLOOKUP(AE31,'Emission Factors'!$G$152:$J$167,MATCH(AC31,'Emission Factors'!$G$87:$J$87,0),0)))))</f>
        <v>1.3408100000000001</v>
      </c>
      <c r="AI31" s="473">
        <f>IF($AD31="CO2eq",VLOOKUP($AE31,'Emission Factors'!$G$88:$J$103,MATCH($AC31,'Emission Factors'!$G$87:$J$87,0),0),IF(AD31="CO",VLOOKUP($AE31,'Emission Factors'!$G$104:$J$119,MATCH(AC31,'Emission Factors'!$G$87:$J$87,0),0),IF(AD31="PM2.5",VLOOKUP(AE31,'Emission Factors'!$G$120:$J$135,MATCH(AC31,'Emission Factors'!$G$87:$J$87,0),0),IF(AD31="NOx",VLOOKUP(AE31,'Emission Factors'!$G$136:$J$151,MATCH(AC31,'Emission Factors'!$G$87:$J$87,0),0),VLOOKUP(AE31,'Emission Factors'!$G$152:$J$167,MATCH(AC31,'Emission Factors'!$G$87:$J$87,0),0)))))</f>
        <v>1.3408100000000001</v>
      </c>
    </row>
    <row r="32" spans="2:35" s="18" customFormat="1" ht="15.5" x14ac:dyDescent="0.35">
      <c r="B32" s="280" t="s">
        <v>283</v>
      </c>
      <c r="C32" s="281">
        <v>2018</v>
      </c>
      <c r="D32" s="99" t="s">
        <v>295</v>
      </c>
      <c r="E32" s="72" t="s">
        <v>109</v>
      </c>
      <c r="F32" s="99" t="s">
        <v>107</v>
      </c>
      <c r="G32" s="99">
        <v>65</v>
      </c>
      <c r="H32" s="68">
        <v>2.5526</v>
      </c>
      <c r="I32" s="68">
        <v>3.29332</v>
      </c>
      <c r="J32" s="69">
        <v>2.2663199999999999</v>
      </c>
      <c r="K32" s="194"/>
      <c r="L32" s="194"/>
      <c r="M32" s="85" t="s">
        <v>105</v>
      </c>
      <c r="N32" s="86" t="s">
        <v>109</v>
      </c>
      <c r="O32" s="541">
        <f>IF(ROUNDUP(('Increase Corridor Speed'!$H$18/5),0)*5=15,20,ROUNDUP('Increase Corridor Speed'!$H$18/5,0)*5)</f>
        <v>0</v>
      </c>
      <c r="P32" s="86" t="s">
        <v>107</v>
      </c>
      <c r="Q32" s="92" t="e">
        <f>IF(N32="CO2eq",VLOOKUP(O32,'Emission Factors'!$G$3:$J$18,MATCH(M32,'Emission Factors'!$G$2:$J$2,0),0),IF(N32="CO",VLOOKUP($O32,'Emission Factors'!$G$19:$J$34,MATCH(M32,'Emission Factors'!$G$2:$J$2,0),0),IF(N32="PM2.5",VLOOKUP(O32,'Emission Factors'!$G$35:$J$50,MATCH(M32,'Emission Factors'!$G$2:$J$2,0),0),IF(N32="NOx",VLOOKUP(O32,'Emission Factors'!$G$51:$J$66,MATCH(M32,'Emission Factors'!$G$2:$J$2,0),0),VLOOKUP(O32,'Emission Factors'!$G$67:$J$82,MATCH(M32,'Emission Factors'!$G$2:$J$2,0),0)))))</f>
        <v>#N/A</v>
      </c>
      <c r="R32" s="468" t="e">
        <f>IF($N32="CO2eq",VLOOKUP($O32,'Emission Factors'!$G$88:$J$103,MATCH($M32,'Emission Factors'!$G$87:$J$87,0),0),IF(N32="CO",VLOOKUP($O32,'Emission Factors'!$G$104:$J$119,MATCH(M32,'Emission Factors'!$G$87:$J$87,0),0),IF(N32="PM2.5",VLOOKUP(O32,'Emission Factors'!$G$120:$J$135,MATCH(M32,'Emission Factors'!$G$87:$J$87,0),0),IF(N32="NOx",VLOOKUP(O32,'Emission Factors'!$G$136:$J$151,MATCH(M32,'Emission Factors'!$G$87:$J$87,0),0),VLOOKUP(O32,'Emission Factors'!$G$152:$J$167,MATCH(M32,'Emission Factors'!$G$87:$J$87,0),0)))))</f>
        <v>#N/A</v>
      </c>
      <c r="S32" s="473" t="e">
        <f>IF($N32="CO2eq",VLOOKUP($O32,'Emission Factors'!$G$173:$J$188,MATCH($M32,'Emission Factors'!$G$172:$J$172,0),0),IF(N32="CO",VLOOKUP($O32,'Emission Factors'!$G$189:$J$204,MATCH(M32,'Emission Factors'!$G$87:$J$87,0),0),IF(N32="PM2.5",VLOOKUP(O32,'Emission Factors'!$G$205:$J$220,MATCH(M32,'Emission Factors'!$G$87:$J$87,0),0),IF(N32="NOx",VLOOKUP(O32,'Emission Factors'!$G$221:$J$236,MATCH(M32,'Emission Factors'!$G$87:$J$87,0),0),VLOOKUP(O32,'Emission Factors'!$G$237:$J$252,MATCH(M32,'Emission Factors'!$G$87:$J$87,0),0)))))</f>
        <v>#N/A</v>
      </c>
      <c r="U32" s="48" t="s">
        <v>242</v>
      </c>
      <c r="V32" s="45" t="s">
        <v>113</v>
      </c>
      <c r="W32" s="45" t="s">
        <v>204</v>
      </c>
      <c r="X32" s="180">
        <f>VLOOKUP(V32,'Emission Factors'!$P$3:$S$7,MATCH(U32,'Emission Factors'!$P$2:$S$2,0),0)</f>
        <v>12.770799999999999</v>
      </c>
      <c r="Y32" s="181">
        <f>VLOOKUP(V32,'Emission Factors'!$P$88:$S$92,MATCH(U32,'Emission Factors'!$P$87:$S$87,0),0)</f>
        <v>7.7128399999999999</v>
      </c>
      <c r="Z32" s="476">
        <f>VLOOKUP(V32,'Emission Factors'!$P$173:$S$177,MATCH(U32,'Emission Factors'!$P$172:$S$172,0),0)</f>
        <v>7.1818799999999996</v>
      </c>
      <c r="AC32" s="85" t="s">
        <v>105</v>
      </c>
      <c r="AD32" s="86" t="s">
        <v>109</v>
      </c>
      <c r="AE32" s="87">
        <v>35</v>
      </c>
      <c r="AF32" s="86" t="s">
        <v>107</v>
      </c>
      <c r="AG32" s="92">
        <f>IF(AD32="CO2eq",VLOOKUP(AE32,'Emission Factors'!$G$3:$J$18,MATCH(AC32,'Emission Factors'!$G$2:$J$2,0),0),IF(AD32="CO",VLOOKUP($AE32,'Emission Factors'!$G$19:$J$34,MATCH(AC32,'Emission Factors'!$G$2:$J$2,0),0),IF(AD32="PM2.5",VLOOKUP(AE32,'Emission Factors'!$G$35:$J$50,MATCH(AC32,'Emission Factors'!$G$2:$J$2,0),0),IF(AD32="NOx",VLOOKUP(AE32,'Emission Factors'!$G$51:$J$66,MATCH(AC32,'Emission Factors'!$G$2:$J$2,0),0),VLOOKUP(AE32,'Emission Factors'!$G$67:$J$82,MATCH(AC32,'Emission Factors'!$G$2:$J$2,0),0)))))</f>
        <v>2.8012299999999999</v>
      </c>
      <c r="AH32" s="468">
        <f>IF($AD32="CO2eq",VLOOKUP($AE32,'Emission Factors'!$G$88:$J$103,MATCH($AC32,'Emission Factors'!$G$87:$J$87,0),0),IF(AD32="CO",VLOOKUP($AE32,'Emission Factors'!$G$104:$J$119,MATCH(AC32,'Emission Factors'!$G$87:$J$87,0),0),IF(AD32="PM2.5",VLOOKUP(AE32,'Emission Factors'!$G$120:$J$135,MATCH(AC32,'Emission Factors'!$G$87:$J$87,0),0),IF(AD32="NOx",VLOOKUP(AE32,'Emission Factors'!$G$136:$J$151,MATCH(AC32,'Emission Factors'!$G$87:$J$87,0),0),VLOOKUP(AE32,'Emission Factors'!$G$152:$J$167,MATCH(AC32,'Emission Factors'!$G$87:$J$87,0),0)))))</f>
        <v>1.3408100000000001</v>
      </c>
      <c r="AI32" s="473">
        <f>IF($AD32="CO2eq",VLOOKUP($AE32,'Emission Factors'!$G$88:$J$103,MATCH($AC32,'Emission Factors'!$G$87:$J$87,0),0),IF(AD32="CO",VLOOKUP($AE32,'Emission Factors'!$G$104:$J$119,MATCH(AC32,'Emission Factors'!$G$87:$J$87,0),0),IF(AD32="PM2.5",VLOOKUP(AE32,'Emission Factors'!$G$120:$J$135,MATCH(AC32,'Emission Factors'!$G$87:$J$87,0),0),IF(AD32="NOx",VLOOKUP(AE32,'Emission Factors'!$G$136:$J$151,MATCH(AC32,'Emission Factors'!$G$87:$J$87,0),0),VLOOKUP(AE32,'Emission Factors'!$G$152:$J$167,MATCH(AC32,'Emission Factors'!$G$87:$J$87,0),0)))))</f>
        <v>1.3408100000000001</v>
      </c>
    </row>
    <row r="33" spans="2:35" s="18" customFormat="1" ht="15.5" x14ac:dyDescent="0.35">
      <c r="B33" s="280" t="s">
        <v>283</v>
      </c>
      <c r="C33" s="281">
        <v>2018</v>
      </c>
      <c r="D33" s="99" t="s">
        <v>295</v>
      </c>
      <c r="E33" s="72" t="s">
        <v>109</v>
      </c>
      <c r="F33" s="99" t="s">
        <v>107</v>
      </c>
      <c r="G33" s="99">
        <v>70</v>
      </c>
      <c r="H33" s="68">
        <v>2.9218799999999998</v>
      </c>
      <c r="I33" s="68">
        <v>3.5756600000000001</v>
      </c>
      <c r="J33" s="69">
        <v>2.2675100000000001</v>
      </c>
      <c r="K33" s="194"/>
      <c r="L33" s="194"/>
      <c r="M33" s="85" t="s">
        <v>105</v>
      </c>
      <c r="N33" s="86" t="s">
        <v>111</v>
      </c>
      <c r="O33" s="541">
        <f>IF(ROUNDDOWN(('Increase Corridor Speed'!$H$17/5),0)*5 = 15,10,ROUNDDOWN(('Increase Corridor Speed'!$H$17/5),0)*5)</f>
        <v>0</v>
      </c>
      <c r="P33" s="86" t="s">
        <v>107</v>
      </c>
      <c r="Q33" s="92" t="e">
        <f>IF(N33="CO2eq",VLOOKUP(O33,'Emission Factors'!$G$3:$J$18,MATCH(M33,'Emission Factors'!$G$2:$J$2,0),0),IF(N33="CO",VLOOKUP($O33,'Emission Factors'!$G$19:$J$34,MATCH(M33,'Emission Factors'!$G$2:$J$2,0),0),IF(N33="PM2.5",VLOOKUP(O33,'Emission Factors'!$G$35:$J$50,MATCH(M33,'Emission Factors'!$G$2:$J$2,0),0),IF(N33="NOx",VLOOKUP(O33,'Emission Factors'!$G$51:$J$66,MATCH(M33,'Emission Factors'!$G$2:$J$2,0),0),VLOOKUP(O33,'Emission Factors'!$G$67:$J$82,MATCH(M33,'Emission Factors'!$G$2:$J$2,0),0)))))</f>
        <v>#N/A</v>
      </c>
      <c r="R33" s="468" t="e">
        <f>IF($N33="CO2eq",VLOOKUP($O33,'Emission Factors'!$G$88:$J$103,MATCH($M33,'Emission Factors'!$G$87:$J$87,0),0),IF(N33="CO",VLOOKUP($O33,'Emission Factors'!$G$104:$J$119,MATCH(M33,'Emission Factors'!$G$87:$J$87,0),0),IF(N33="PM2.5",VLOOKUP(O33,'Emission Factors'!$G$120:$J$135,MATCH(M33,'Emission Factors'!$G$87:$J$87,0),0),IF(N33="NOx",VLOOKUP(O33,'Emission Factors'!$G$136:$J$151,MATCH(M33,'Emission Factors'!$G$87:$J$87,0),0),VLOOKUP(O33,'Emission Factors'!$G$152:$J$167,MATCH(M33,'Emission Factors'!$G$87:$J$87,0),0)))))</f>
        <v>#N/A</v>
      </c>
      <c r="S33" s="473" t="e">
        <f>IF($N33="CO2eq",VLOOKUP($O33,'Emission Factors'!$G$173:$J$188,MATCH($M33,'Emission Factors'!$G$172:$J$172,0),0),IF(N33="CO",VLOOKUP($O33,'Emission Factors'!$G$189:$J$204,MATCH(M33,'Emission Factors'!$G$87:$J$87,0),0),IF(N33="PM2.5",VLOOKUP(O33,'Emission Factors'!$G$205:$J$220,MATCH(M33,'Emission Factors'!$G$87:$J$87,0),0),IF(N33="NOx",VLOOKUP(O33,'Emission Factors'!$G$221:$J$236,MATCH(M33,'Emission Factors'!$G$87:$J$87,0),0),VLOOKUP(O33,'Emission Factors'!$G$237:$J$252,MATCH(M33,'Emission Factors'!$G$87:$J$87,0),0)))))</f>
        <v>#N/A</v>
      </c>
      <c r="U33" s="49" t="s">
        <v>242</v>
      </c>
      <c r="V33" s="50" t="s">
        <v>115</v>
      </c>
      <c r="W33" s="50" t="s">
        <v>204</v>
      </c>
      <c r="X33" s="182">
        <f>VLOOKUP(V33,'Emission Factors'!$P$3:$S$7,MATCH(U33,'Emission Factors'!$P$2:$S$2,0),0)</f>
        <v>2.28396</v>
      </c>
      <c r="Y33" s="183">
        <f>VLOOKUP(V33,'Emission Factors'!$P$88:$S$92,MATCH(U33,'Emission Factors'!$P$87:$S$87,0),0)</f>
        <v>0.45275199999999999</v>
      </c>
      <c r="Z33" s="477">
        <f>VLOOKUP(V33,'Emission Factors'!$P$173:$S$177,MATCH(U33,'Emission Factors'!$P$172:$S$172,0),0)</f>
        <v>0.33133499999999999</v>
      </c>
      <c r="AC33" s="85" t="s">
        <v>105</v>
      </c>
      <c r="AD33" s="86" t="s">
        <v>111</v>
      </c>
      <c r="AE33" s="87">
        <v>35</v>
      </c>
      <c r="AF33" s="86" t="s">
        <v>107</v>
      </c>
      <c r="AG33" s="92">
        <f>IF(AD33="CO2eq",VLOOKUP(AE33,'Emission Factors'!$G$3:$J$18,MATCH(AC33,'Emission Factors'!$G$2:$J$2,0),0),IF(AD33="CO",VLOOKUP($AE33,'Emission Factors'!$G$19:$J$34,MATCH(AC33,'Emission Factors'!$G$2:$J$2,0),0),IF(AD33="PM2.5",VLOOKUP(AE33,'Emission Factors'!$G$35:$J$50,MATCH(AC33,'Emission Factors'!$G$2:$J$2,0),0),IF(AD33="NOx",VLOOKUP(AE33,'Emission Factors'!$G$51:$J$66,MATCH(AC33,'Emission Factors'!$G$2:$J$2,0),0),VLOOKUP(AE33,'Emission Factors'!$G$67:$J$82,MATCH(AC33,'Emission Factors'!$G$2:$J$2,0),0)))))</f>
        <v>3.88069E-3</v>
      </c>
      <c r="AH33" s="468">
        <f>IF($AD33="CO2eq",VLOOKUP($AE33,'Emission Factors'!$G$88:$J$103,MATCH($AC33,'Emission Factors'!$G$87:$J$87,0),0),IF(AD33="CO",VLOOKUP($AE33,'Emission Factors'!$G$104:$J$119,MATCH(AC33,'Emission Factors'!$G$87:$J$87,0),0),IF(AD33="PM2.5",VLOOKUP(AE33,'Emission Factors'!$G$120:$J$135,MATCH(AC33,'Emission Factors'!$G$87:$J$87,0),0),IF(AD33="NOx",VLOOKUP(AE33,'Emission Factors'!$G$136:$J$151,MATCH(AC33,'Emission Factors'!$G$87:$J$87,0),0),VLOOKUP(AE33,'Emission Factors'!$G$152:$J$167,MATCH(AC33,'Emission Factors'!$G$87:$J$87,0),0)))))</f>
        <v>1.44056E-3</v>
      </c>
      <c r="AI33" s="473">
        <f>IF($AD33="CO2eq",VLOOKUP($AE33,'Emission Factors'!$G$88:$J$103,MATCH($AC33,'Emission Factors'!$G$87:$J$87,0),0),IF(AD33="CO",VLOOKUP($AE33,'Emission Factors'!$G$104:$J$119,MATCH(AC33,'Emission Factors'!$G$87:$J$87,0),0),IF(AD33="PM2.5",VLOOKUP(AE33,'Emission Factors'!$G$120:$J$135,MATCH(AC33,'Emission Factors'!$G$87:$J$87,0),0),IF(AD33="NOx",VLOOKUP(AE33,'Emission Factors'!$G$136:$J$151,MATCH(AC33,'Emission Factors'!$G$87:$J$87,0),0),VLOOKUP(AE33,'Emission Factors'!$G$152:$J$167,MATCH(AC33,'Emission Factors'!$G$87:$J$87,0),0)))))</f>
        <v>1.44056E-3</v>
      </c>
    </row>
    <row r="34" spans="2:35" s="18" customFormat="1" ht="15.5" x14ac:dyDescent="0.35">
      <c r="B34" s="282" t="s">
        <v>283</v>
      </c>
      <c r="C34" s="283">
        <v>2018</v>
      </c>
      <c r="D34" s="51" t="s">
        <v>295</v>
      </c>
      <c r="E34" s="73" t="s">
        <v>109</v>
      </c>
      <c r="F34" s="51" t="s">
        <v>107</v>
      </c>
      <c r="G34" s="51">
        <v>75</v>
      </c>
      <c r="H34" s="70">
        <v>3.85778</v>
      </c>
      <c r="I34" s="70">
        <v>4.23306</v>
      </c>
      <c r="J34" s="71">
        <v>2.29156</v>
      </c>
      <c r="K34" s="194"/>
      <c r="L34" s="194"/>
      <c r="M34" s="85" t="s">
        <v>105</v>
      </c>
      <c r="N34" s="86" t="s">
        <v>111</v>
      </c>
      <c r="O34" s="541">
        <f>IF(ROUNDUP(('Increase Corridor Speed'!$H$18/5),0)*5=15,20,ROUNDUP('Increase Corridor Speed'!$H$18/5,0)*5)</f>
        <v>0</v>
      </c>
      <c r="P34" s="86" t="s">
        <v>107</v>
      </c>
      <c r="Q34" s="92" t="e">
        <f>IF(N34="CO2eq",VLOOKUP(O34,'Emission Factors'!$G$3:$J$18,MATCH(M34,'Emission Factors'!$G$2:$J$2,0),0),IF(N34="CO",VLOOKUP($O34,'Emission Factors'!$G$19:$J$34,MATCH(M34,'Emission Factors'!$G$2:$J$2,0),0),IF(N34="PM2.5",VLOOKUP(O34,'Emission Factors'!$G$35:$J$50,MATCH(M34,'Emission Factors'!$G$2:$J$2,0),0),IF(N34="NOx",VLOOKUP(O34,'Emission Factors'!$G$51:$J$66,MATCH(M34,'Emission Factors'!$G$2:$J$2,0),0),VLOOKUP(O34,'Emission Factors'!$G$67:$J$82,MATCH(M34,'Emission Factors'!$G$2:$J$2,0),0)))))</f>
        <v>#N/A</v>
      </c>
      <c r="R34" s="468" t="e">
        <f>IF($N34="CO2eq",VLOOKUP($O34,'Emission Factors'!$G$88:$J$103,MATCH($M34,'Emission Factors'!$G$87:$J$87,0),0),IF(N34="CO",VLOOKUP($O34,'Emission Factors'!$G$104:$J$119,MATCH(M34,'Emission Factors'!$G$87:$J$87,0),0),IF(N34="PM2.5",VLOOKUP(O34,'Emission Factors'!$G$120:$J$135,MATCH(M34,'Emission Factors'!$G$87:$J$87,0),0),IF(N34="NOx",VLOOKUP(O34,'Emission Factors'!$G$136:$J$151,MATCH(M34,'Emission Factors'!$G$87:$J$87,0),0),VLOOKUP(O34,'Emission Factors'!$G$152:$J$167,MATCH(M34,'Emission Factors'!$G$87:$J$87,0),0)))))</f>
        <v>#N/A</v>
      </c>
      <c r="S34" s="473" t="e">
        <f>IF($N34="CO2eq",VLOOKUP($O34,'Emission Factors'!$G$173:$J$188,MATCH($M34,'Emission Factors'!$G$172:$J$172,0),0),IF(N34="CO",VLOOKUP($O34,'Emission Factors'!$G$189:$J$204,MATCH(M34,'Emission Factors'!$G$87:$J$87,0),0),IF(N34="PM2.5",VLOOKUP(O34,'Emission Factors'!$G$205:$J$220,MATCH(M34,'Emission Factors'!$G$87:$J$87,0),0),IF(N34="NOx",VLOOKUP(O34,'Emission Factors'!$G$221:$J$236,MATCH(M34,'Emission Factors'!$G$87:$J$87,0),0),VLOOKUP(O34,'Emission Factors'!$G$237:$J$252,MATCH(M34,'Emission Factors'!$G$87:$J$87,0),0)))))</f>
        <v>#N/A</v>
      </c>
      <c r="AC34" s="85" t="s">
        <v>105</v>
      </c>
      <c r="AD34" s="86" t="s">
        <v>111</v>
      </c>
      <c r="AE34" s="87">
        <v>35</v>
      </c>
      <c r="AF34" s="86" t="s">
        <v>107</v>
      </c>
      <c r="AG34" s="92">
        <f>IF(AD34="CO2eq",VLOOKUP(AE34,'Emission Factors'!$G$3:$J$18,MATCH(AC34,'Emission Factors'!$G$2:$J$2,0),0),IF(AD34="CO",VLOOKUP($AE34,'Emission Factors'!$G$19:$J$34,MATCH(AC34,'Emission Factors'!$G$2:$J$2,0),0),IF(AD34="PM2.5",VLOOKUP(AE34,'Emission Factors'!$G$35:$J$50,MATCH(AC34,'Emission Factors'!$G$2:$J$2,0),0),IF(AD34="NOx",VLOOKUP(AE34,'Emission Factors'!$G$51:$J$66,MATCH(AC34,'Emission Factors'!$G$2:$J$2,0),0),VLOOKUP(AE34,'Emission Factors'!$G$67:$J$82,MATCH(AC34,'Emission Factors'!$G$2:$J$2,0),0)))))</f>
        <v>3.88069E-3</v>
      </c>
      <c r="AH34" s="468">
        <f>IF($AD34="CO2eq",VLOOKUP($AE34,'Emission Factors'!$G$88:$J$103,MATCH($AC34,'Emission Factors'!$G$87:$J$87,0),0),IF(AD34="CO",VLOOKUP($AE34,'Emission Factors'!$G$104:$J$119,MATCH(AC34,'Emission Factors'!$G$87:$J$87,0),0),IF(AD34="PM2.5",VLOOKUP(AE34,'Emission Factors'!$G$120:$J$135,MATCH(AC34,'Emission Factors'!$G$87:$J$87,0),0),IF(AD34="NOx",VLOOKUP(AE34,'Emission Factors'!$G$136:$J$151,MATCH(AC34,'Emission Factors'!$G$87:$J$87,0),0),VLOOKUP(AE34,'Emission Factors'!$G$152:$J$167,MATCH(AC34,'Emission Factors'!$G$87:$J$87,0),0)))))</f>
        <v>1.44056E-3</v>
      </c>
      <c r="AI34" s="473">
        <f>IF($AD34="CO2eq",VLOOKUP($AE34,'Emission Factors'!$G$88:$J$103,MATCH($AC34,'Emission Factors'!$G$87:$J$87,0),0),IF(AD34="CO",VLOOKUP($AE34,'Emission Factors'!$G$104:$J$119,MATCH(AC34,'Emission Factors'!$G$87:$J$87,0),0),IF(AD34="PM2.5",VLOOKUP(AE34,'Emission Factors'!$G$120:$J$135,MATCH(AC34,'Emission Factors'!$G$87:$J$87,0),0),IF(AD34="NOx",VLOOKUP(AE34,'Emission Factors'!$G$136:$J$151,MATCH(AC34,'Emission Factors'!$G$87:$J$87,0),0),VLOOKUP(AE34,'Emission Factors'!$G$152:$J$167,MATCH(AC34,'Emission Factors'!$G$87:$J$87,0),0)))))</f>
        <v>1.44056E-3</v>
      </c>
    </row>
    <row r="35" spans="2:35" s="18" customFormat="1" ht="15.5" x14ac:dyDescent="0.35">
      <c r="B35" s="278" t="s">
        <v>283</v>
      </c>
      <c r="C35" s="279">
        <v>2018</v>
      </c>
      <c r="D35" s="217" t="s">
        <v>295</v>
      </c>
      <c r="E35" s="78" t="s">
        <v>111</v>
      </c>
      <c r="F35" s="217" t="s">
        <v>107</v>
      </c>
      <c r="G35" s="217">
        <v>2.5</v>
      </c>
      <c r="H35" s="79">
        <v>1.92284E-2</v>
      </c>
      <c r="I35" s="79">
        <v>0.182142</v>
      </c>
      <c r="J35" s="80">
        <v>1.40903</v>
      </c>
      <c r="K35" s="194"/>
      <c r="L35" s="194"/>
      <c r="M35" s="85" t="s">
        <v>105</v>
      </c>
      <c r="N35" s="86" t="s">
        <v>113</v>
      </c>
      <c r="O35" s="541">
        <f>IF(ROUNDDOWN(('Increase Corridor Speed'!$H$17/5),0)*5 = 15,10,ROUNDDOWN(('Increase Corridor Speed'!$H$17/5),0)*5)</f>
        <v>0</v>
      </c>
      <c r="P35" s="86" t="s">
        <v>107</v>
      </c>
      <c r="Q35" s="92" t="e">
        <f>IF(N35="CO2eq",VLOOKUP(O35,'Emission Factors'!$G$3:$J$18,MATCH(M35,'Emission Factors'!$G$2:$J$2,0),0),IF(N35="CO",VLOOKUP($O35,'Emission Factors'!$G$19:$J$34,MATCH(M35,'Emission Factors'!$G$2:$J$2,0),0),IF(N35="PM2.5",VLOOKUP(O35,'Emission Factors'!$G$35:$J$50,MATCH(M35,'Emission Factors'!$G$2:$J$2,0),0),IF(N35="NOx",VLOOKUP(O35,'Emission Factors'!$G$51:$J$66,MATCH(M35,'Emission Factors'!$G$2:$J$2,0),0),VLOOKUP(O35,'Emission Factors'!$G$67:$J$82,MATCH(M35,'Emission Factors'!$G$2:$J$2,0),0)))))</f>
        <v>#N/A</v>
      </c>
      <c r="R35" s="468" t="e">
        <f>IF($N35="CO2eq",VLOOKUP($O35,'Emission Factors'!$G$88:$J$103,MATCH($M35,'Emission Factors'!$G$87:$J$87,0),0),IF(N35="CO",VLOOKUP($O35,'Emission Factors'!$G$104:$J$119,MATCH(M35,'Emission Factors'!$G$87:$J$87,0),0),IF(N35="PM2.5",VLOOKUP(O35,'Emission Factors'!$G$120:$J$135,MATCH(M35,'Emission Factors'!$G$87:$J$87,0),0),IF(N35="NOx",VLOOKUP(O35,'Emission Factors'!$G$136:$J$151,MATCH(M35,'Emission Factors'!$G$87:$J$87,0),0),VLOOKUP(O35,'Emission Factors'!$G$152:$J$167,MATCH(M35,'Emission Factors'!$G$87:$J$87,0),0)))))</f>
        <v>#N/A</v>
      </c>
      <c r="S35" s="473" t="e">
        <f>IF($N35="CO2eq",VLOOKUP($O35,'Emission Factors'!$G$173:$J$188,MATCH($M35,'Emission Factors'!$G$172:$J$172,0),0),IF(N35="CO",VLOOKUP($O35,'Emission Factors'!$G$189:$J$204,MATCH(M35,'Emission Factors'!$G$87:$J$87,0),0),IF(N35="PM2.5",VLOOKUP(O35,'Emission Factors'!$G$205:$J$220,MATCH(M35,'Emission Factors'!$G$87:$J$87,0),0),IF(N35="NOx",VLOOKUP(O35,'Emission Factors'!$G$221:$J$236,MATCH(M35,'Emission Factors'!$G$87:$J$87,0),0),VLOOKUP(O35,'Emission Factors'!$G$237:$J$252,MATCH(M35,'Emission Factors'!$G$87:$J$87,0),0)))))</f>
        <v>#N/A</v>
      </c>
      <c r="AC35" s="85" t="s">
        <v>105</v>
      </c>
      <c r="AD35" s="86" t="s">
        <v>113</v>
      </c>
      <c r="AE35" s="87">
        <v>35</v>
      </c>
      <c r="AF35" s="86" t="s">
        <v>107</v>
      </c>
      <c r="AG35" s="92">
        <f>IF(AD35="CO2eq",VLOOKUP(AE35,'Emission Factors'!$G$3:$J$18,MATCH(AC35,'Emission Factors'!$G$2:$J$2,0),0),IF(AD35="CO",VLOOKUP($AE35,'Emission Factors'!$G$19:$J$34,MATCH(AC35,'Emission Factors'!$G$2:$J$2,0),0),IF(AD35="PM2.5",VLOOKUP(AE35,'Emission Factors'!$G$35:$J$50,MATCH(AC35,'Emission Factors'!$G$2:$J$2,0),0),IF(AD35="NOx",VLOOKUP(AE35,'Emission Factors'!$G$51:$J$66,MATCH(AC35,'Emission Factors'!$G$2:$J$2,0),0),VLOOKUP(AE35,'Emission Factors'!$G$67:$J$82,MATCH(AC35,'Emission Factors'!$G$2:$J$2,0),0)))))</f>
        <v>0.31547700000000001</v>
      </c>
      <c r="AH35" s="468">
        <f>IF($AD35="CO2eq",VLOOKUP($AE35,'Emission Factors'!$G$88:$J$103,MATCH($AC35,'Emission Factors'!$G$87:$J$87,0),0),IF(AD35="CO",VLOOKUP($AE35,'Emission Factors'!$G$104:$J$119,MATCH(AC35,'Emission Factors'!$G$87:$J$87,0),0),IF(AD35="PM2.5",VLOOKUP(AE35,'Emission Factors'!$G$120:$J$135,MATCH(AC35,'Emission Factors'!$G$87:$J$87,0),0),IF(AD35="NOx",VLOOKUP(AE35,'Emission Factors'!$G$136:$J$151,MATCH(AC35,'Emission Factors'!$G$87:$J$87,0),0),VLOOKUP(AE35,'Emission Factors'!$G$152:$J$167,MATCH(AC35,'Emission Factors'!$G$87:$J$87,0),0)))))</f>
        <v>7.1350499999999997E-2</v>
      </c>
      <c r="AI35" s="473">
        <f>IF($AD35="CO2eq",VLOOKUP($AE35,'Emission Factors'!$G$88:$J$103,MATCH($AC35,'Emission Factors'!$G$87:$J$87,0),0),IF(AD35="CO",VLOOKUP($AE35,'Emission Factors'!$G$104:$J$119,MATCH(AC35,'Emission Factors'!$G$87:$J$87,0),0),IF(AD35="PM2.5",VLOOKUP(AE35,'Emission Factors'!$G$120:$J$135,MATCH(AC35,'Emission Factors'!$G$87:$J$87,0),0),IF(AD35="NOx",VLOOKUP(AE35,'Emission Factors'!$G$136:$J$151,MATCH(AC35,'Emission Factors'!$G$87:$J$87,0),0),VLOOKUP(AE35,'Emission Factors'!$G$152:$J$167,MATCH(AC35,'Emission Factors'!$G$87:$J$87,0),0)))))</f>
        <v>7.1350499999999997E-2</v>
      </c>
    </row>
    <row r="36" spans="2:35" s="18" customFormat="1" ht="15.5" x14ac:dyDescent="0.35">
      <c r="B36" s="280" t="s">
        <v>283</v>
      </c>
      <c r="C36" s="281">
        <v>2018</v>
      </c>
      <c r="D36" s="99" t="s">
        <v>295</v>
      </c>
      <c r="E36" s="72" t="s">
        <v>111</v>
      </c>
      <c r="F36" s="99" t="s">
        <v>107</v>
      </c>
      <c r="G36" s="99">
        <v>5</v>
      </c>
      <c r="H36" s="68">
        <v>1.17935E-2</v>
      </c>
      <c r="I36" s="68">
        <v>0.103216</v>
      </c>
      <c r="J36" s="69">
        <v>0.77636400000000005</v>
      </c>
      <c r="K36" s="194"/>
      <c r="L36" s="194"/>
      <c r="M36" s="85" t="s">
        <v>105</v>
      </c>
      <c r="N36" s="86" t="s">
        <v>113</v>
      </c>
      <c r="O36" s="541">
        <f>IF(ROUNDUP(('Increase Corridor Speed'!$H$18/5),0)*5=15,20,ROUNDUP('Increase Corridor Speed'!$H$18/5,0)*5)</f>
        <v>0</v>
      </c>
      <c r="P36" s="86" t="s">
        <v>107</v>
      </c>
      <c r="Q36" s="92" t="e">
        <f>IF(N36="CO2eq",VLOOKUP(O36,'Emission Factors'!$G$3:$J$18,MATCH(M36,'Emission Factors'!$G$2:$J$2,0),0),IF(N36="CO",VLOOKUP($O36,'Emission Factors'!$G$19:$J$34,MATCH(M36,'Emission Factors'!$G$2:$J$2,0),0),IF(N36="PM2.5",VLOOKUP(O36,'Emission Factors'!$G$35:$J$50,MATCH(M36,'Emission Factors'!$G$2:$J$2,0),0),IF(N36="NOx",VLOOKUP(O36,'Emission Factors'!$G$51:$J$66,MATCH(M36,'Emission Factors'!$G$2:$J$2,0),0),VLOOKUP(O36,'Emission Factors'!$G$67:$J$82,MATCH(M36,'Emission Factors'!$G$2:$J$2,0),0)))))</f>
        <v>#N/A</v>
      </c>
      <c r="R36" s="468" t="e">
        <f>IF($N36="CO2eq",VLOOKUP($O36,'Emission Factors'!$G$88:$J$103,MATCH($M36,'Emission Factors'!$G$87:$J$87,0),0),IF(N36="CO",VLOOKUP($O36,'Emission Factors'!$G$104:$J$119,MATCH(M36,'Emission Factors'!$G$87:$J$87,0),0),IF(N36="PM2.5",VLOOKUP(O36,'Emission Factors'!$G$120:$J$135,MATCH(M36,'Emission Factors'!$G$87:$J$87,0),0),IF(N36="NOx",VLOOKUP(O36,'Emission Factors'!$G$136:$J$151,MATCH(M36,'Emission Factors'!$G$87:$J$87,0),0),VLOOKUP(O36,'Emission Factors'!$G$152:$J$167,MATCH(M36,'Emission Factors'!$G$87:$J$87,0),0)))))</f>
        <v>#N/A</v>
      </c>
      <c r="S36" s="473" t="e">
        <f>IF($N36="CO2eq",VLOOKUP($O36,'Emission Factors'!$G$173:$J$188,MATCH($M36,'Emission Factors'!$G$172:$J$172,0),0),IF(N36="CO",VLOOKUP($O36,'Emission Factors'!$G$189:$J$204,MATCH(M36,'Emission Factors'!$G$87:$J$87,0),0),IF(N36="PM2.5",VLOOKUP(O36,'Emission Factors'!$G$205:$J$220,MATCH(M36,'Emission Factors'!$G$87:$J$87,0),0),IF(N36="NOx",VLOOKUP(O36,'Emission Factors'!$G$221:$J$236,MATCH(M36,'Emission Factors'!$G$87:$J$87,0),0),VLOOKUP(O36,'Emission Factors'!$G$237:$J$252,MATCH(M36,'Emission Factors'!$G$87:$J$87,0),0)))))</f>
        <v>#N/A</v>
      </c>
      <c r="AC36" s="85" t="s">
        <v>105</v>
      </c>
      <c r="AD36" s="86" t="s">
        <v>113</v>
      </c>
      <c r="AE36" s="87">
        <v>35</v>
      </c>
      <c r="AF36" s="86" t="s">
        <v>107</v>
      </c>
      <c r="AG36" s="92">
        <f>IF(AD36="CO2eq",VLOOKUP(AE36,'Emission Factors'!$G$3:$J$18,MATCH(AC36,'Emission Factors'!$G$2:$J$2,0),0),IF(AD36="CO",VLOOKUP($AE36,'Emission Factors'!$G$19:$J$34,MATCH(AC36,'Emission Factors'!$G$2:$J$2,0),0),IF(AD36="PM2.5",VLOOKUP(AE36,'Emission Factors'!$G$35:$J$50,MATCH(AC36,'Emission Factors'!$G$2:$J$2,0),0),IF(AD36="NOx",VLOOKUP(AE36,'Emission Factors'!$G$51:$J$66,MATCH(AC36,'Emission Factors'!$G$2:$J$2,0),0),VLOOKUP(AE36,'Emission Factors'!$G$67:$J$82,MATCH(AC36,'Emission Factors'!$G$2:$J$2,0),0)))))</f>
        <v>0.31547700000000001</v>
      </c>
      <c r="AH36" s="468">
        <f>IF($AD36="CO2eq",VLOOKUP($AE36,'Emission Factors'!$G$88:$J$103,MATCH($AC36,'Emission Factors'!$G$87:$J$87,0),0),IF(AD36="CO",VLOOKUP($AE36,'Emission Factors'!$G$104:$J$119,MATCH(AC36,'Emission Factors'!$G$87:$J$87,0),0),IF(AD36="PM2.5",VLOOKUP(AE36,'Emission Factors'!$G$120:$J$135,MATCH(AC36,'Emission Factors'!$G$87:$J$87,0),0),IF(AD36="NOx",VLOOKUP(AE36,'Emission Factors'!$G$136:$J$151,MATCH(AC36,'Emission Factors'!$G$87:$J$87,0),0),VLOOKUP(AE36,'Emission Factors'!$G$152:$J$167,MATCH(AC36,'Emission Factors'!$G$87:$J$87,0),0)))))</f>
        <v>7.1350499999999997E-2</v>
      </c>
      <c r="AI36" s="473">
        <f>IF($AD36="CO2eq",VLOOKUP($AE36,'Emission Factors'!$G$88:$J$103,MATCH($AC36,'Emission Factors'!$G$87:$J$87,0),0),IF(AD36="CO",VLOOKUP($AE36,'Emission Factors'!$G$104:$J$119,MATCH(AC36,'Emission Factors'!$G$87:$J$87,0),0),IF(AD36="PM2.5",VLOOKUP(AE36,'Emission Factors'!$G$120:$J$135,MATCH(AC36,'Emission Factors'!$G$87:$J$87,0),0),IF(AD36="NOx",VLOOKUP(AE36,'Emission Factors'!$G$136:$J$151,MATCH(AC36,'Emission Factors'!$G$87:$J$87,0),0),VLOOKUP(AE36,'Emission Factors'!$G$152:$J$167,MATCH(AC36,'Emission Factors'!$G$87:$J$87,0),0)))))</f>
        <v>7.1350499999999997E-2</v>
      </c>
    </row>
    <row r="37" spans="2:35" s="18" customFormat="1" ht="15.5" x14ac:dyDescent="0.35">
      <c r="B37" s="280" t="s">
        <v>283</v>
      </c>
      <c r="C37" s="281">
        <v>2018</v>
      </c>
      <c r="D37" s="99" t="s">
        <v>295</v>
      </c>
      <c r="E37" s="72" t="s">
        <v>111</v>
      </c>
      <c r="F37" s="99" t="s">
        <v>107</v>
      </c>
      <c r="G37" s="99">
        <v>10</v>
      </c>
      <c r="H37" s="68">
        <v>8.0761199999999991E-3</v>
      </c>
      <c r="I37" s="68">
        <v>6.4265600000000006E-2</v>
      </c>
      <c r="J37" s="69">
        <v>0.50796399999999997</v>
      </c>
      <c r="K37" s="194"/>
      <c r="L37" s="194"/>
      <c r="M37" s="85" t="s">
        <v>105</v>
      </c>
      <c r="N37" s="86" t="s">
        <v>115</v>
      </c>
      <c r="O37" s="541">
        <f>IF(ROUNDDOWN(('Increase Corridor Speed'!$H$17/5),0)*5 = 15,10,ROUNDDOWN(('Increase Corridor Speed'!$H$17/5),0)*5)</f>
        <v>0</v>
      </c>
      <c r="P37" s="86" t="s">
        <v>107</v>
      </c>
      <c r="Q37" s="92" t="e">
        <f>IF(N37="CO2eq",VLOOKUP(O37,'Emission Factors'!$G$3:$J$18,MATCH(M37,'Emission Factors'!$G$2:$J$2,0),0),IF(N37="CO",VLOOKUP($O37,'Emission Factors'!$G$19:$J$34,MATCH(M37,'Emission Factors'!$G$2:$J$2,0),0),IF(N37="PM2.5",VLOOKUP(O37,'Emission Factors'!$G$35:$J$50,MATCH(M37,'Emission Factors'!$G$2:$J$2,0),0),IF(N37="NOx",VLOOKUP(O37,'Emission Factors'!$G$51:$J$66,MATCH(M37,'Emission Factors'!$G$2:$J$2,0),0),VLOOKUP(O37,'Emission Factors'!$G$67:$J$82,MATCH(M37,'Emission Factors'!$G$2:$J$2,0),0)))))</f>
        <v>#N/A</v>
      </c>
      <c r="R37" s="468" t="e">
        <f>IF($N37="CO2eq",VLOOKUP($O37,'Emission Factors'!$G$88:$J$103,MATCH($M37,'Emission Factors'!$G$87:$J$87,0),0),IF(N37="CO",VLOOKUP($O37,'Emission Factors'!$G$104:$J$119,MATCH(M37,'Emission Factors'!$G$87:$J$87,0),0),IF(N37="PM2.5",VLOOKUP(O37,'Emission Factors'!$G$120:$J$135,MATCH(M37,'Emission Factors'!$G$87:$J$87,0),0),IF(N37="NOx",VLOOKUP(O37,'Emission Factors'!$G$136:$J$151,MATCH(M37,'Emission Factors'!$G$87:$J$87,0),0),VLOOKUP(O37,'Emission Factors'!$G$152:$J$167,MATCH(M37,'Emission Factors'!$G$87:$J$87,0),0)))))</f>
        <v>#N/A</v>
      </c>
      <c r="S37" s="473" t="e">
        <f>IF($N37="CO2eq",VLOOKUP($O37,'Emission Factors'!$G$173:$J$188,MATCH($M37,'Emission Factors'!$G$172:$J$172,0),0),IF(N37="CO",VLOOKUP($O37,'Emission Factors'!$G$189:$J$204,MATCH(M37,'Emission Factors'!$G$87:$J$87,0),0),IF(N37="PM2.5",VLOOKUP(O37,'Emission Factors'!$G$205:$J$220,MATCH(M37,'Emission Factors'!$G$87:$J$87,0),0),IF(N37="NOx",VLOOKUP(O37,'Emission Factors'!$G$221:$J$236,MATCH(M37,'Emission Factors'!$G$87:$J$87,0),0),VLOOKUP(O37,'Emission Factors'!$G$237:$J$252,MATCH(M37,'Emission Factors'!$G$87:$J$87,0),0)))))</f>
        <v>#N/A</v>
      </c>
      <c r="AC37" s="85" t="s">
        <v>105</v>
      </c>
      <c r="AD37" s="86" t="s">
        <v>115</v>
      </c>
      <c r="AE37" s="87">
        <v>35</v>
      </c>
      <c r="AF37" s="86" t="s">
        <v>107</v>
      </c>
      <c r="AG37" s="92">
        <f>IF(AD37="CO2eq",VLOOKUP(AE37,'Emission Factors'!$G$3:$J$18,MATCH(AC37,'Emission Factors'!$G$2:$J$2,0),0),IF(AD37="CO",VLOOKUP($AE37,'Emission Factors'!$G$19:$J$34,MATCH(AC37,'Emission Factors'!$G$2:$J$2,0),0),IF(AD37="PM2.5",VLOOKUP(AE37,'Emission Factors'!$G$35:$J$50,MATCH(AC37,'Emission Factors'!$G$2:$J$2,0),0),IF(AD37="NOx",VLOOKUP(AE37,'Emission Factors'!$G$51:$J$66,MATCH(AC37,'Emission Factors'!$G$2:$J$2,0),0),VLOOKUP(AE37,'Emission Factors'!$G$67:$J$82,MATCH(AC37,'Emission Factors'!$G$2:$J$2,0),0)))))</f>
        <v>6.5010700000000005E-2</v>
      </c>
      <c r="AH37" s="468">
        <f>IF($AD37="CO2eq",VLOOKUP($AE37,'Emission Factors'!$G$88:$J$103,MATCH($AC37,'Emission Factors'!$G$87:$J$87,0),0),IF(AD37="CO",VLOOKUP($AE37,'Emission Factors'!$G$104:$J$119,MATCH(AC37,'Emission Factors'!$G$87:$J$87,0),0),IF(AD37="PM2.5",VLOOKUP(AE37,'Emission Factors'!$G$120:$J$135,MATCH(AC37,'Emission Factors'!$G$87:$J$87,0),0),IF(AD37="NOx",VLOOKUP(AE37,'Emission Factors'!$G$136:$J$151,MATCH(AC37,'Emission Factors'!$G$87:$J$87,0),0),VLOOKUP(AE37,'Emission Factors'!$G$152:$J$167,MATCH(AC37,'Emission Factors'!$G$87:$J$87,0),0)))))</f>
        <v>1.6728199999999999E-2</v>
      </c>
      <c r="AI37" s="473">
        <f>IF($AD37="CO2eq",VLOOKUP($AE37,'Emission Factors'!$G$88:$J$103,MATCH($AC37,'Emission Factors'!$G$87:$J$87,0),0),IF(AD37="CO",VLOOKUP($AE37,'Emission Factors'!$G$104:$J$119,MATCH(AC37,'Emission Factors'!$G$87:$J$87,0),0),IF(AD37="PM2.5",VLOOKUP(AE37,'Emission Factors'!$G$120:$J$135,MATCH(AC37,'Emission Factors'!$G$87:$J$87,0),0),IF(AD37="NOx",VLOOKUP(AE37,'Emission Factors'!$G$136:$J$151,MATCH(AC37,'Emission Factors'!$G$87:$J$87,0),0),VLOOKUP(AE37,'Emission Factors'!$G$152:$J$167,MATCH(AC37,'Emission Factors'!$G$87:$J$87,0),0)))))</f>
        <v>1.6728199999999999E-2</v>
      </c>
    </row>
    <row r="38" spans="2:35" s="18" customFormat="1" ht="15.5" x14ac:dyDescent="0.35">
      <c r="B38" s="280" t="s">
        <v>283</v>
      </c>
      <c r="C38" s="281">
        <v>2018</v>
      </c>
      <c r="D38" s="99" t="s">
        <v>295</v>
      </c>
      <c r="E38" s="72" t="s">
        <v>111</v>
      </c>
      <c r="F38" s="99" t="s">
        <v>107</v>
      </c>
      <c r="G38" s="99">
        <v>20</v>
      </c>
      <c r="H38" s="68">
        <v>5.9301500000000004E-3</v>
      </c>
      <c r="I38" s="68">
        <v>4.2486200000000002E-2</v>
      </c>
      <c r="J38" s="69">
        <v>0.43813099999999999</v>
      </c>
      <c r="K38" s="194"/>
      <c r="L38" s="194"/>
      <c r="M38" s="53" t="s">
        <v>105</v>
      </c>
      <c r="N38" s="54" t="s">
        <v>115</v>
      </c>
      <c r="O38" s="542">
        <f>IF(ROUNDUP(('Increase Corridor Speed'!$H$18/5),0)*5=15,20,ROUNDUP('Increase Corridor Speed'!$H$18/5,0)*5)</f>
        <v>0</v>
      </c>
      <c r="P38" s="54" t="s">
        <v>107</v>
      </c>
      <c r="Q38" s="233" t="e">
        <f>IF(N38="CO2eq",VLOOKUP(O38,'Emission Factors'!$G$3:$J$18,MATCH(M38,'Emission Factors'!$G$2:$J$2,0),0),IF(N38="CO",VLOOKUP($O38,'Emission Factors'!$G$19:$J$34,MATCH(M38,'Emission Factors'!$G$2:$J$2,0),0),IF(N38="PM2.5",VLOOKUP(O38,'Emission Factors'!$G$35:$J$50,MATCH(M38,'Emission Factors'!$G$2:$J$2,0),0),IF(N38="NOx",VLOOKUP(O38,'Emission Factors'!$G$51:$J$66,MATCH(M38,'Emission Factors'!$G$2:$J$2,0),0),VLOOKUP(O38,'Emission Factors'!$G$67:$J$82,MATCH(M38,'Emission Factors'!$G$2:$J$2,0),0)))))</f>
        <v>#N/A</v>
      </c>
      <c r="R38" s="469" t="e">
        <f>IF($N38="CO2eq",VLOOKUP($O38,'Emission Factors'!$G$88:$J$103,MATCH($M38,'Emission Factors'!$G$87:$J$87,0),0),IF(N38="CO",VLOOKUP($O38,'Emission Factors'!$G$104:$J$119,MATCH(M38,'Emission Factors'!$G$87:$J$87,0),0),IF(N38="PM2.5",VLOOKUP(O38,'Emission Factors'!$G$120:$J$135,MATCH(M38,'Emission Factors'!$G$87:$J$87,0),0),IF(N38="NOx",VLOOKUP(O38,'Emission Factors'!$G$136:$J$151,MATCH(M38,'Emission Factors'!$G$87:$J$87,0),0),VLOOKUP(O38,'Emission Factors'!$G$152:$J$167,MATCH(M38,'Emission Factors'!$G$87:$J$87,0),0)))))</f>
        <v>#N/A</v>
      </c>
      <c r="S38" s="474" t="e">
        <f>IF($N38="CO2eq",VLOOKUP($O38,'Emission Factors'!$G$173:$J$188,MATCH($M38,'Emission Factors'!$G$172:$J$172,0),0),IF(N38="CO",VLOOKUP($O38,'Emission Factors'!$G$189:$J$204,MATCH(M38,'Emission Factors'!$G$87:$J$87,0),0),IF(N38="PM2.5",VLOOKUP(O38,'Emission Factors'!$G$205:$J$220,MATCH(M38,'Emission Factors'!$G$87:$J$87,0),0),IF(N38="NOx",VLOOKUP(O38,'Emission Factors'!$G$221:$J$236,MATCH(M38,'Emission Factors'!$G$87:$J$87,0),0),VLOOKUP(O38,'Emission Factors'!$G$237:$J$252,MATCH(M38,'Emission Factors'!$G$87:$J$87,0),0)))))</f>
        <v>#N/A</v>
      </c>
      <c r="AC38" s="53" t="s">
        <v>105</v>
      </c>
      <c r="AD38" s="54" t="s">
        <v>115</v>
      </c>
      <c r="AE38" s="232">
        <v>35</v>
      </c>
      <c r="AF38" s="54" t="s">
        <v>107</v>
      </c>
      <c r="AG38" s="233">
        <f>IF(AD38="CO2eq",VLOOKUP(AE38,'Emission Factors'!$G$3:$J$18,MATCH(AC38,'Emission Factors'!$G$2:$J$2,0),0),IF(AD38="CO",VLOOKUP($AE38,'Emission Factors'!$G$19:$J$34,MATCH(AC38,'Emission Factors'!$G$2:$J$2,0),0),IF(AD38="PM2.5",VLOOKUP(AE38,'Emission Factors'!$G$35:$J$50,MATCH(AC38,'Emission Factors'!$G$2:$J$2,0),0),IF(AD38="NOx",VLOOKUP(AE38,'Emission Factors'!$G$51:$J$66,MATCH(AC38,'Emission Factors'!$G$2:$J$2,0),0),VLOOKUP(AE38,'Emission Factors'!$G$67:$J$82,MATCH(AC38,'Emission Factors'!$G$2:$J$2,0),0)))))</f>
        <v>6.5010700000000005E-2</v>
      </c>
      <c r="AH38" s="469">
        <f>IF($AD38="CO2eq",VLOOKUP($AE38,'Emission Factors'!$G$88:$J$103,MATCH($AC38,'Emission Factors'!$G$87:$J$87,0),0),IF(AD38="CO",VLOOKUP($AE38,'Emission Factors'!$G$104:$J$119,MATCH(AC38,'Emission Factors'!$G$87:$J$87,0),0),IF(AD38="PM2.5",VLOOKUP(AE38,'Emission Factors'!$G$120:$J$135,MATCH(AC38,'Emission Factors'!$G$87:$J$87,0),0),IF(AD38="NOx",VLOOKUP(AE38,'Emission Factors'!$G$136:$J$151,MATCH(AC38,'Emission Factors'!$G$87:$J$87,0),0),VLOOKUP(AE38,'Emission Factors'!$G$152:$J$167,MATCH(AC38,'Emission Factors'!$G$87:$J$87,0),0)))))</f>
        <v>1.6728199999999999E-2</v>
      </c>
      <c r="AI38" s="474">
        <f>IF($AD38="CO2eq",VLOOKUP($AE38,'Emission Factors'!$G$88:$J$103,MATCH($AC38,'Emission Factors'!$G$87:$J$87,0),0),IF(AD38="CO",VLOOKUP($AE38,'Emission Factors'!$G$104:$J$119,MATCH(AC38,'Emission Factors'!$G$87:$J$87,0),0),IF(AD38="PM2.5",VLOOKUP(AE38,'Emission Factors'!$G$120:$J$135,MATCH(AC38,'Emission Factors'!$G$87:$J$87,0),0),IF(AD38="NOx",VLOOKUP(AE38,'Emission Factors'!$G$136:$J$151,MATCH(AC38,'Emission Factors'!$G$87:$J$87,0),0),VLOOKUP(AE38,'Emission Factors'!$G$152:$J$167,MATCH(AC38,'Emission Factors'!$G$87:$J$87,0),0)))))</f>
        <v>1.6728199999999999E-2</v>
      </c>
    </row>
    <row r="39" spans="2:35" s="18" customFormat="1" ht="15.5" x14ac:dyDescent="0.35">
      <c r="B39" s="280" t="s">
        <v>283</v>
      </c>
      <c r="C39" s="281">
        <v>2018</v>
      </c>
      <c r="D39" s="99" t="s">
        <v>295</v>
      </c>
      <c r="E39" s="72" t="s">
        <v>111</v>
      </c>
      <c r="F39" s="99" t="s">
        <v>107</v>
      </c>
      <c r="G39" s="99">
        <v>25</v>
      </c>
      <c r="H39" s="68">
        <v>6.8369900000000003E-3</v>
      </c>
      <c r="I39" s="68">
        <v>5.02371E-2</v>
      </c>
      <c r="J39" s="69">
        <v>0.47969200000000001</v>
      </c>
      <c r="K39" s="194"/>
      <c r="L39" s="194"/>
      <c r="M39" s="95" t="s">
        <v>242</v>
      </c>
      <c r="N39" s="96" t="s">
        <v>106</v>
      </c>
      <c r="O39" s="543">
        <f>IF(ROUNDDOWN(('Increase Corridor Speed'!$H$17/5),0)*5 = 15,10,ROUNDDOWN(('Increase Corridor Speed'!$H$17/5),0)*5)</f>
        <v>0</v>
      </c>
      <c r="P39" s="96" t="s">
        <v>107</v>
      </c>
      <c r="Q39" s="97" t="e">
        <f>IF(N39="CO2eq",VLOOKUP(O39,'Emission Factors'!$G$3:$J$18,MATCH(M39,'Emission Factors'!$G$2:$J$2,0),0),IF(N39="CO",VLOOKUP($O39,'Emission Factors'!$G$19:$J$34,MATCH(M39,'Emission Factors'!$G$2:$J$2,0),0),IF(N39="PM2.5",VLOOKUP(O39,'Emission Factors'!$G$35:$J$50,MATCH(M39,'Emission Factors'!$G$2:$J$2,0),0),IF(N39="NOx",VLOOKUP(O39,'Emission Factors'!$G$51:$J$66,MATCH(M39,'Emission Factors'!$G$2:$J$2,0),0),VLOOKUP(O39,'Emission Factors'!$G$67:$J$82,MATCH(M39,'Emission Factors'!$G$2:$J$2,0),0)))))</f>
        <v>#N/A</v>
      </c>
      <c r="R39" s="470" t="e">
        <f>IF($N39="CO2eq",VLOOKUP($O39,'Emission Factors'!$G$88:$J$103,MATCH($M39,'Emission Factors'!$G$87:$J$87,0),0),IF(N39="CO",VLOOKUP($O39,'Emission Factors'!$G$104:$J$119,MATCH(M39,'Emission Factors'!$G$87:$J$87,0),0),IF(N39="PM2.5",VLOOKUP(O39,'Emission Factors'!$G$120:$J$135,MATCH(M39,'Emission Factors'!$G$87:$J$87,0),0),IF(N39="NOx",VLOOKUP(O39,'Emission Factors'!$G$136:$J$151,MATCH(M39,'Emission Factors'!$G$87:$J$87,0),0),VLOOKUP(O39,'Emission Factors'!$G$152:$J$167,MATCH(M39,'Emission Factors'!$G$87:$J$87,0),0)))))</f>
        <v>#N/A</v>
      </c>
      <c r="S39" s="473" t="e">
        <f>IF($N39="CO2eq",VLOOKUP($O39,'Emission Factors'!$G$173:$J$188,MATCH($M39,'Emission Factors'!$G$172:$J$172,0),0),IF(N39="CO",VLOOKUP($O39,'Emission Factors'!$G$189:$J$204,MATCH(M39,'Emission Factors'!$G$87:$J$87,0),0),IF(N39="PM2.5",VLOOKUP(O39,'Emission Factors'!$G$205:$J$220,MATCH(M39,'Emission Factors'!$G$87:$J$87,0),0),IF(N39="NOx",VLOOKUP(O39,'Emission Factors'!$G$221:$J$236,MATCH(M39,'Emission Factors'!$G$87:$J$87,0),0),VLOOKUP(O39,'Emission Factors'!$G$237:$J$252,MATCH(M39,'Emission Factors'!$G$87:$J$87,0),0)))))</f>
        <v>#N/A</v>
      </c>
      <c r="AC39" s="95" t="s">
        <v>242</v>
      </c>
      <c r="AD39" s="96" t="s">
        <v>106</v>
      </c>
      <c r="AE39" s="87">
        <v>35</v>
      </c>
      <c r="AF39" s="96" t="s">
        <v>107</v>
      </c>
      <c r="AG39" s="97">
        <f>IF(AD39="CO2eq",VLOOKUP(AE39,'Emission Factors'!$G$3:$J$18,MATCH(AC39,'Emission Factors'!$G$2:$J$2,0),0),IF(AD39="CO",VLOOKUP($AE39,'Emission Factors'!$G$19:$J$34,MATCH(AC39,'Emission Factors'!$G$2:$J$2,0),0),IF(AD39="PM2.5",VLOOKUP(AE39,'Emission Factors'!$G$35:$J$50,MATCH(AC39,'Emission Factors'!$G$2:$J$2,0),0),IF(AD39="NOx",VLOOKUP(AE39,'Emission Factors'!$G$51:$J$66,MATCH(AC39,'Emission Factors'!$G$2:$J$2,0),0),VLOOKUP(AE39,'Emission Factors'!$G$67:$J$82,MATCH(AC39,'Emission Factors'!$G$2:$J$2,0),0)))))</f>
        <v>602.02700000000004</v>
      </c>
      <c r="AH39" s="470">
        <f>IF($AD39="CO2eq",VLOOKUP($AE39,'Emission Factors'!$G$88:$J$103,MATCH($AC39,'Emission Factors'!$G$87:$J$87,0),0),IF(AD39="CO",VLOOKUP($AE39,'Emission Factors'!$G$104:$J$119,MATCH(AC39,'Emission Factors'!$G$87:$J$87,0),0),IF(AD39="PM2.5",VLOOKUP(AE39,'Emission Factors'!$G$120:$J$135,MATCH(AC39,'Emission Factors'!$G$87:$J$87,0),0),IF(AD39="NOx",VLOOKUP(AE39,'Emission Factors'!$G$136:$J$151,MATCH(AC39,'Emission Factors'!$G$87:$J$87,0),0),VLOOKUP(AE39,'Emission Factors'!$G$152:$J$167,MATCH(AC39,'Emission Factors'!$G$87:$J$87,0),0)))))</f>
        <v>481.983</v>
      </c>
      <c r="AI39" s="472">
        <f>IF($AD39="CO2eq",VLOOKUP($AE39,'Emission Factors'!$G$88:$J$103,MATCH($AC39,'Emission Factors'!$G$87:$J$87,0),0),IF(AD39="CO",VLOOKUP($AE39,'Emission Factors'!$G$104:$J$119,MATCH(AC39,'Emission Factors'!$G$87:$J$87,0),0),IF(AD39="PM2.5",VLOOKUP(AE39,'Emission Factors'!$G$120:$J$135,MATCH(AC39,'Emission Factors'!$G$87:$J$87,0),0),IF(AD39="NOx",VLOOKUP(AE39,'Emission Factors'!$G$136:$J$151,MATCH(AC39,'Emission Factors'!$G$87:$J$87,0),0),VLOOKUP(AE39,'Emission Factors'!$G$152:$J$167,MATCH(AC39,'Emission Factors'!$G$87:$J$87,0),0)))))</f>
        <v>481.983</v>
      </c>
    </row>
    <row r="40" spans="2:35" s="18" customFormat="1" ht="15.5" x14ac:dyDescent="0.35">
      <c r="B40" s="280" t="s">
        <v>283</v>
      </c>
      <c r="C40" s="281">
        <v>2018</v>
      </c>
      <c r="D40" s="99" t="s">
        <v>295</v>
      </c>
      <c r="E40" s="72" t="s">
        <v>111</v>
      </c>
      <c r="F40" s="99" t="s">
        <v>107</v>
      </c>
      <c r="G40" s="99">
        <v>25</v>
      </c>
      <c r="H40" s="68">
        <v>4.8077399999999996E-3</v>
      </c>
      <c r="I40" s="68">
        <v>3.7095099999999999E-2</v>
      </c>
      <c r="J40" s="69">
        <v>0.41110999999999998</v>
      </c>
      <c r="K40" s="194"/>
      <c r="L40" s="194"/>
      <c r="M40" s="85" t="s">
        <v>242</v>
      </c>
      <c r="N40" s="86" t="s">
        <v>106</v>
      </c>
      <c r="O40" s="541">
        <f>IF(ROUNDUP(('Increase Corridor Speed'!$H$18/5),0)*5=15,20,ROUNDUP('Increase Corridor Speed'!$H$18/5,0)*5)</f>
        <v>0</v>
      </c>
      <c r="P40" s="86" t="s">
        <v>107</v>
      </c>
      <c r="Q40" s="92" t="e">
        <f>IF(N40="CO2eq",VLOOKUP(O40,'Emission Factors'!$G$3:$J$18,MATCH(M40,'Emission Factors'!$G$2:$J$2,0),0),IF(N40="CO",VLOOKUP($O40,'Emission Factors'!$G$19:$J$34,MATCH(M40,'Emission Factors'!$G$2:$J$2,0),0),IF(N40="PM2.5",VLOOKUP(O40,'Emission Factors'!$G$35:$J$50,MATCH(M40,'Emission Factors'!$G$2:$J$2,0),0),IF(N40="NOx",VLOOKUP(O40,'Emission Factors'!$G$51:$J$66,MATCH(M40,'Emission Factors'!$G$2:$J$2,0),0),VLOOKUP(O40,'Emission Factors'!$G$67:$J$82,MATCH(M40,'Emission Factors'!$G$2:$J$2,0),0)))))</f>
        <v>#N/A</v>
      </c>
      <c r="R40" s="468" t="e">
        <f>IF($N40="CO2eq",VLOOKUP($O40,'Emission Factors'!$G$88:$J$103,MATCH($M40,'Emission Factors'!$G$87:$J$87,0),0),IF(N40="CO",VLOOKUP($O40,'Emission Factors'!$G$104:$J$119,MATCH(M40,'Emission Factors'!$G$87:$J$87,0),0),IF(N40="PM2.5",VLOOKUP(O40,'Emission Factors'!$G$120:$J$135,MATCH(M40,'Emission Factors'!$G$87:$J$87,0),0),IF(N40="NOx",VLOOKUP(O40,'Emission Factors'!$G$136:$J$151,MATCH(M40,'Emission Factors'!$G$87:$J$87,0),0),VLOOKUP(O40,'Emission Factors'!$G$152:$J$167,MATCH(M40,'Emission Factors'!$G$87:$J$87,0),0)))))</f>
        <v>#N/A</v>
      </c>
      <c r="S40" s="473" t="e">
        <f>IF($N40="CO2eq",VLOOKUP($O40,'Emission Factors'!$G$173:$J$188,MATCH($M40,'Emission Factors'!$G$172:$J$172,0),0),IF(N40="CO",VLOOKUP($O40,'Emission Factors'!$G$189:$J$204,MATCH(M40,'Emission Factors'!$G$87:$J$87,0),0),IF(N40="PM2.5",VLOOKUP(O40,'Emission Factors'!$G$205:$J$220,MATCH(M40,'Emission Factors'!$G$87:$J$87,0),0),IF(N40="NOx",VLOOKUP(O40,'Emission Factors'!$G$221:$J$236,MATCH(M40,'Emission Factors'!$G$87:$J$87,0),0),VLOOKUP(O40,'Emission Factors'!$G$237:$J$252,MATCH(M40,'Emission Factors'!$G$87:$J$87,0),0)))))</f>
        <v>#N/A</v>
      </c>
      <c r="AC40" s="85" t="s">
        <v>242</v>
      </c>
      <c r="AD40" s="86" t="s">
        <v>106</v>
      </c>
      <c r="AE40" s="87">
        <v>35</v>
      </c>
      <c r="AF40" s="86" t="s">
        <v>107</v>
      </c>
      <c r="AG40" s="92">
        <f>IF(AD40="CO2eq",VLOOKUP(AE40,'Emission Factors'!$G$3:$J$18,MATCH(AC40,'Emission Factors'!$G$2:$J$2,0),0),IF(AD40="CO",VLOOKUP($AE40,'Emission Factors'!$G$19:$J$34,MATCH(AC40,'Emission Factors'!$G$2:$J$2,0),0),IF(AD40="PM2.5",VLOOKUP(AE40,'Emission Factors'!$G$35:$J$50,MATCH(AC40,'Emission Factors'!$G$2:$J$2,0),0),IF(AD40="NOx",VLOOKUP(AE40,'Emission Factors'!$G$51:$J$66,MATCH(AC40,'Emission Factors'!$G$2:$J$2,0),0),VLOOKUP(AE40,'Emission Factors'!$G$67:$J$82,MATCH(AC40,'Emission Factors'!$G$2:$J$2,0),0)))))</f>
        <v>602.02700000000004</v>
      </c>
      <c r="AH40" s="468">
        <f>IF($AD40="CO2eq",VLOOKUP($AE40,'Emission Factors'!$G$88:$J$103,MATCH($AC40,'Emission Factors'!$G$87:$J$87,0),0),IF(AD40="CO",VLOOKUP($AE40,'Emission Factors'!$G$104:$J$119,MATCH(AC40,'Emission Factors'!$G$87:$J$87,0),0),IF(AD40="PM2.5",VLOOKUP(AE40,'Emission Factors'!$G$120:$J$135,MATCH(AC40,'Emission Factors'!$G$87:$J$87,0),0),IF(AD40="NOx",VLOOKUP(AE40,'Emission Factors'!$G$136:$J$151,MATCH(AC40,'Emission Factors'!$G$87:$J$87,0),0),VLOOKUP(AE40,'Emission Factors'!$G$152:$J$167,MATCH(AC40,'Emission Factors'!$G$87:$J$87,0),0)))))</f>
        <v>481.983</v>
      </c>
      <c r="AI40" s="473">
        <f>IF($AD40="CO2eq",VLOOKUP($AE40,'Emission Factors'!$G$88:$J$103,MATCH($AC40,'Emission Factors'!$G$87:$J$87,0),0),IF(AD40="CO",VLOOKUP($AE40,'Emission Factors'!$G$104:$J$119,MATCH(AC40,'Emission Factors'!$G$87:$J$87,0),0),IF(AD40="PM2.5",VLOOKUP(AE40,'Emission Factors'!$G$120:$J$135,MATCH(AC40,'Emission Factors'!$G$87:$J$87,0),0),IF(AD40="NOx",VLOOKUP(AE40,'Emission Factors'!$G$136:$J$151,MATCH(AC40,'Emission Factors'!$G$87:$J$87,0),0),VLOOKUP(AE40,'Emission Factors'!$G$152:$J$167,MATCH(AC40,'Emission Factors'!$G$87:$J$87,0),0)))))</f>
        <v>481.983</v>
      </c>
    </row>
    <row r="41" spans="2:35" s="18" customFormat="1" ht="15.5" x14ac:dyDescent="0.35">
      <c r="B41" s="280" t="s">
        <v>283</v>
      </c>
      <c r="C41" s="281">
        <v>2018</v>
      </c>
      <c r="D41" s="99" t="s">
        <v>295</v>
      </c>
      <c r="E41" s="72" t="s">
        <v>111</v>
      </c>
      <c r="F41" s="99" t="s">
        <v>107</v>
      </c>
      <c r="G41" s="99">
        <v>30</v>
      </c>
      <c r="H41" s="68">
        <v>4.2404799999999996E-3</v>
      </c>
      <c r="I41" s="68">
        <v>3.4482400000000003E-2</v>
      </c>
      <c r="J41" s="69">
        <v>0.39488899999999999</v>
      </c>
      <c r="K41" s="194"/>
      <c r="L41" s="194"/>
      <c r="M41" s="85" t="s">
        <v>242</v>
      </c>
      <c r="N41" s="86" t="s">
        <v>109</v>
      </c>
      <c r="O41" s="541">
        <f>IF(ROUNDDOWN(('Increase Corridor Speed'!$H$17/5),0)*5 = 15,10,ROUNDDOWN(('Increase Corridor Speed'!$H$17/5),0)*5)</f>
        <v>0</v>
      </c>
      <c r="P41" s="86" t="s">
        <v>107</v>
      </c>
      <c r="Q41" s="92" t="e">
        <f>IF(N41="CO2eq",VLOOKUP(O41,'Emission Factors'!$G$3:$J$18,MATCH(M41,'Emission Factors'!$G$2:$J$2,0),0),IF(N41="CO",VLOOKUP($O41,'Emission Factors'!$G$19:$J$34,MATCH(M41,'Emission Factors'!$G$2:$J$2,0),0),IF(N41="PM2.5",VLOOKUP(O41,'Emission Factors'!$G$35:$J$50,MATCH(M41,'Emission Factors'!$G$2:$J$2,0),0),IF(N41="NOx",VLOOKUP(O41,'Emission Factors'!$G$51:$J$66,MATCH(M41,'Emission Factors'!$G$2:$J$2,0),0),VLOOKUP(O41,'Emission Factors'!$G$67:$J$82,MATCH(M41,'Emission Factors'!$G$2:$J$2,0),0)))))</f>
        <v>#N/A</v>
      </c>
      <c r="R41" s="468" t="e">
        <f>IF($N41="CO2eq",VLOOKUP($O41,'Emission Factors'!$G$88:$J$103,MATCH($M41,'Emission Factors'!$G$87:$J$87,0),0),IF(N41="CO",VLOOKUP($O41,'Emission Factors'!$G$104:$J$119,MATCH(M41,'Emission Factors'!$G$87:$J$87,0),0),IF(N41="PM2.5",VLOOKUP(O41,'Emission Factors'!$G$120:$J$135,MATCH(M41,'Emission Factors'!$G$87:$J$87,0),0),IF(N41="NOx",VLOOKUP(O41,'Emission Factors'!$G$136:$J$151,MATCH(M41,'Emission Factors'!$G$87:$J$87,0),0),VLOOKUP(O41,'Emission Factors'!$G$152:$J$167,MATCH(M41,'Emission Factors'!$G$87:$J$87,0),0)))))</f>
        <v>#N/A</v>
      </c>
      <c r="S41" s="473" t="e">
        <f>IF($N41="CO2eq",VLOOKUP($O41,'Emission Factors'!$G$173:$J$188,MATCH($M41,'Emission Factors'!$G$172:$J$172,0),0),IF(N41="CO",VLOOKUP($O41,'Emission Factors'!$G$189:$J$204,MATCH(M41,'Emission Factors'!$G$87:$J$87,0),0),IF(N41="PM2.5",VLOOKUP(O41,'Emission Factors'!$G$205:$J$220,MATCH(M41,'Emission Factors'!$G$87:$J$87,0),0),IF(N41="NOx",VLOOKUP(O41,'Emission Factors'!$G$221:$J$236,MATCH(M41,'Emission Factors'!$G$87:$J$87,0),0),VLOOKUP(O41,'Emission Factors'!$G$237:$J$252,MATCH(M41,'Emission Factors'!$G$87:$J$87,0),0)))))</f>
        <v>#N/A</v>
      </c>
      <c r="AC41" s="85" t="s">
        <v>242</v>
      </c>
      <c r="AD41" s="86" t="s">
        <v>109</v>
      </c>
      <c r="AE41" s="87">
        <v>35</v>
      </c>
      <c r="AF41" s="86" t="s">
        <v>107</v>
      </c>
      <c r="AG41" s="92">
        <f>IF(AD41="CO2eq",VLOOKUP(AE41,'Emission Factors'!$G$3:$J$18,MATCH(AC41,'Emission Factors'!$G$2:$J$2,0),0),IF(AD41="CO",VLOOKUP($AE41,'Emission Factors'!$G$19:$J$34,MATCH(AC41,'Emission Factors'!$G$2:$J$2,0),0),IF(AD41="PM2.5",VLOOKUP(AE41,'Emission Factors'!$G$35:$J$50,MATCH(AC41,'Emission Factors'!$G$2:$J$2,0),0),IF(AD41="NOx",VLOOKUP(AE41,'Emission Factors'!$G$51:$J$66,MATCH(AC41,'Emission Factors'!$G$2:$J$2,0),0),VLOOKUP(AE41,'Emission Factors'!$G$67:$J$82,MATCH(AC41,'Emission Factors'!$G$2:$J$2,0),0)))))</f>
        <v>3.8907699999999998</v>
      </c>
      <c r="AH41" s="468">
        <f>IF($AD41="CO2eq",VLOOKUP($AE41,'Emission Factors'!$G$88:$J$103,MATCH($AC41,'Emission Factors'!$G$87:$J$87,0),0),IF(AD41="CO",VLOOKUP($AE41,'Emission Factors'!$G$104:$J$119,MATCH(AC41,'Emission Factors'!$G$87:$J$87,0),0),IF(AD41="PM2.5",VLOOKUP(AE41,'Emission Factors'!$G$120:$J$135,MATCH(AC41,'Emission Factors'!$G$87:$J$87,0),0),IF(AD41="NOx",VLOOKUP(AE41,'Emission Factors'!$G$136:$J$151,MATCH(AC41,'Emission Factors'!$G$87:$J$87,0),0),VLOOKUP(AE41,'Emission Factors'!$G$152:$J$167,MATCH(AC41,'Emission Factors'!$G$87:$J$87,0),0)))))</f>
        <v>1.647</v>
      </c>
      <c r="AI41" s="473">
        <f>IF($AD41="CO2eq",VLOOKUP($AE41,'Emission Factors'!$G$88:$J$103,MATCH($AC41,'Emission Factors'!$G$87:$J$87,0),0),IF(AD41="CO",VLOOKUP($AE41,'Emission Factors'!$G$104:$J$119,MATCH(AC41,'Emission Factors'!$G$87:$J$87,0),0),IF(AD41="PM2.5",VLOOKUP(AE41,'Emission Factors'!$G$120:$J$135,MATCH(AC41,'Emission Factors'!$G$87:$J$87,0),0),IF(AD41="NOx",VLOOKUP(AE41,'Emission Factors'!$G$136:$J$151,MATCH(AC41,'Emission Factors'!$G$87:$J$87,0),0),VLOOKUP(AE41,'Emission Factors'!$G$152:$J$167,MATCH(AC41,'Emission Factors'!$G$87:$J$87,0),0)))))</f>
        <v>1.647</v>
      </c>
    </row>
    <row r="42" spans="2:35" s="18" customFormat="1" ht="15.5" x14ac:dyDescent="0.35">
      <c r="B42" s="280" t="s">
        <v>283</v>
      </c>
      <c r="C42" s="281">
        <v>2018</v>
      </c>
      <c r="D42" s="99" t="s">
        <v>295</v>
      </c>
      <c r="E42" s="72" t="s">
        <v>111</v>
      </c>
      <c r="F42" s="99" t="s">
        <v>107</v>
      </c>
      <c r="G42" s="99">
        <v>35</v>
      </c>
      <c r="H42" s="68">
        <v>3.88069E-3</v>
      </c>
      <c r="I42" s="68">
        <v>2.8967900000000001E-2</v>
      </c>
      <c r="J42" s="69">
        <v>0.30203400000000002</v>
      </c>
      <c r="K42" s="194"/>
      <c r="L42" s="194"/>
      <c r="M42" s="85" t="s">
        <v>242</v>
      </c>
      <c r="N42" s="86" t="s">
        <v>109</v>
      </c>
      <c r="O42" s="541">
        <f>IF(ROUNDUP(('Increase Corridor Speed'!$H$18/5),0)*5=15,20,ROUNDUP('Increase Corridor Speed'!$H$18/5,0)*5)</f>
        <v>0</v>
      </c>
      <c r="P42" s="86" t="s">
        <v>107</v>
      </c>
      <c r="Q42" s="92" t="e">
        <f>IF(N42="CO2eq",VLOOKUP(O42,'Emission Factors'!$G$3:$J$18,MATCH(M42,'Emission Factors'!$G$2:$J$2,0),0),IF(N42="CO",VLOOKUP($O42,'Emission Factors'!$G$19:$J$34,MATCH(M42,'Emission Factors'!$G$2:$J$2,0),0),IF(N42="PM2.5",VLOOKUP(O42,'Emission Factors'!$G$35:$J$50,MATCH(M42,'Emission Factors'!$G$2:$J$2,0),0),IF(N42="NOx",VLOOKUP(O42,'Emission Factors'!$G$51:$J$66,MATCH(M42,'Emission Factors'!$G$2:$J$2,0),0),VLOOKUP(O42,'Emission Factors'!$G$67:$J$82,MATCH(M42,'Emission Factors'!$G$2:$J$2,0),0)))))</f>
        <v>#N/A</v>
      </c>
      <c r="R42" s="468" t="e">
        <f>IF($N42="CO2eq",VLOOKUP($O42,'Emission Factors'!$G$88:$J$103,MATCH($M42,'Emission Factors'!$G$87:$J$87,0),0),IF(N42="CO",VLOOKUP($O42,'Emission Factors'!$G$104:$J$119,MATCH(M42,'Emission Factors'!$G$87:$J$87,0),0),IF(N42="PM2.5",VLOOKUP(O42,'Emission Factors'!$G$120:$J$135,MATCH(M42,'Emission Factors'!$G$87:$J$87,0),0),IF(N42="NOx",VLOOKUP(O42,'Emission Factors'!$G$136:$J$151,MATCH(M42,'Emission Factors'!$G$87:$J$87,0),0),VLOOKUP(O42,'Emission Factors'!$G$152:$J$167,MATCH(M42,'Emission Factors'!$G$87:$J$87,0),0)))))</f>
        <v>#N/A</v>
      </c>
      <c r="S42" s="473" t="e">
        <f>IF($N42="CO2eq",VLOOKUP($O42,'Emission Factors'!$G$173:$J$188,MATCH($M42,'Emission Factors'!$G$172:$J$172,0),0),IF(N42="CO",VLOOKUP($O42,'Emission Factors'!$G$189:$J$204,MATCH(M42,'Emission Factors'!$G$87:$J$87,0),0),IF(N42="PM2.5",VLOOKUP(O42,'Emission Factors'!$G$205:$J$220,MATCH(M42,'Emission Factors'!$G$87:$J$87,0),0),IF(N42="NOx",VLOOKUP(O42,'Emission Factors'!$G$221:$J$236,MATCH(M42,'Emission Factors'!$G$87:$J$87,0),0),VLOOKUP(O42,'Emission Factors'!$G$237:$J$252,MATCH(M42,'Emission Factors'!$G$87:$J$87,0),0)))))</f>
        <v>#N/A</v>
      </c>
      <c r="AC42" s="85" t="s">
        <v>242</v>
      </c>
      <c r="AD42" s="86" t="s">
        <v>109</v>
      </c>
      <c r="AE42" s="87">
        <v>35</v>
      </c>
      <c r="AF42" s="86" t="s">
        <v>107</v>
      </c>
      <c r="AG42" s="92">
        <f>IF(AD42="CO2eq",VLOOKUP(AE42,'Emission Factors'!$G$3:$J$18,MATCH(AC42,'Emission Factors'!$G$2:$J$2,0),0),IF(AD42="CO",VLOOKUP($AE42,'Emission Factors'!$G$19:$J$34,MATCH(AC42,'Emission Factors'!$G$2:$J$2,0),0),IF(AD42="PM2.5",VLOOKUP(AE42,'Emission Factors'!$G$35:$J$50,MATCH(AC42,'Emission Factors'!$G$2:$J$2,0),0),IF(AD42="NOx",VLOOKUP(AE42,'Emission Factors'!$G$51:$J$66,MATCH(AC42,'Emission Factors'!$G$2:$J$2,0),0),VLOOKUP(AE42,'Emission Factors'!$G$67:$J$82,MATCH(AC42,'Emission Factors'!$G$2:$J$2,0),0)))))</f>
        <v>3.8907699999999998</v>
      </c>
      <c r="AH42" s="468">
        <f>IF($AD42="CO2eq",VLOOKUP($AE42,'Emission Factors'!$G$88:$J$103,MATCH($AC42,'Emission Factors'!$G$87:$J$87,0),0),IF(AD42="CO",VLOOKUP($AE42,'Emission Factors'!$G$104:$J$119,MATCH(AC42,'Emission Factors'!$G$87:$J$87,0),0),IF(AD42="PM2.5",VLOOKUP(AE42,'Emission Factors'!$G$120:$J$135,MATCH(AC42,'Emission Factors'!$G$87:$J$87,0),0),IF(AD42="NOx",VLOOKUP(AE42,'Emission Factors'!$G$136:$J$151,MATCH(AC42,'Emission Factors'!$G$87:$J$87,0),0),VLOOKUP(AE42,'Emission Factors'!$G$152:$J$167,MATCH(AC42,'Emission Factors'!$G$87:$J$87,0),0)))))</f>
        <v>1.647</v>
      </c>
      <c r="AI42" s="473">
        <f>IF($AD42="CO2eq",VLOOKUP($AE42,'Emission Factors'!$G$88:$J$103,MATCH($AC42,'Emission Factors'!$G$87:$J$87,0),0),IF(AD42="CO",VLOOKUP($AE42,'Emission Factors'!$G$104:$J$119,MATCH(AC42,'Emission Factors'!$G$87:$J$87,0),0),IF(AD42="PM2.5",VLOOKUP(AE42,'Emission Factors'!$G$120:$J$135,MATCH(AC42,'Emission Factors'!$G$87:$J$87,0),0),IF(AD42="NOx",VLOOKUP(AE42,'Emission Factors'!$G$136:$J$151,MATCH(AC42,'Emission Factors'!$G$87:$J$87,0),0),VLOOKUP(AE42,'Emission Factors'!$G$152:$J$167,MATCH(AC42,'Emission Factors'!$G$87:$J$87,0),0)))))</f>
        <v>1.647</v>
      </c>
    </row>
    <row r="43" spans="2:35" s="18" customFormat="1" ht="15.5" x14ac:dyDescent="0.35">
      <c r="B43" s="280" t="s">
        <v>283</v>
      </c>
      <c r="C43" s="281">
        <v>2018</v>
      </c>
      <c r="D43" s="99" t="s">
        <v>295</v>
      </c>
      <c r="E43" s="72" t="s">
        <v>111</v>
      </c>
      <c r="F43" s="99" t="s">
        <v>107</v>
      </c>
      <c r="G43" s="99">
        <v>40</v>
      </c>
      <c r="H43" s="68">
        <v>3.6181999999999998E-3</v>
      </c>
      <c r="I43" s="68">
        <v>2.62575E-2</v>
      </c>
      <c r="J43" s="69">
        <v>0.28162399999999999</v>
      </c>
      <c r="K43" s="194"/>
      <c r="L43" s="194"/>
      <c r="M43" s="85" t="s">
        <v>242</v>
      </c>
      <c r="N43" s="86" t="s">
        <v>111</v>
      </c>
      <c r="O43" s="541">
        <f>IF(ROUNDDOWN(('Increase Corridor Speed'!$H$17/5),0)*5 = 15,10,ROUNDDOWN(('Increase Corridor Speed'!$H$17/5),0)*5)</f>
        <v>0</v>
      </c>
      <c r="P43" s="86" t="s">
        <v>107</v>
      </c>
      <c r="Q43" s="92" t="e">
        <f>IF(N43="CO2eq",VLOOKUP(O43,'Emission Factors'!$G$3:$J$18,MATCH(M43,'Emission Factors'!$G$2:$J$2,0),0),IF(N43="CO",VLOOKUP($O43,'Emission Factors'!$G$19:$J$34,MATCH(M43,'Emission Factors'!$G$2:$J$2,0),0),IF(N43="PM2.5",VLOOKUP(O43,'Emission Factors'!$G$35:$J$50,MATCH(M43,'Emission Factors'!$G$2:$J$2,0),0),IF(N43="NOx",VLOOKUP(O43,'Emission Factors'!$G$51:$J$66,MATCH(M43,'Emission Factors'!$G$2:$J$2,0),0),VLOOKUP(O43,'Emission Factors'!$G$67:$J$82,MATCH(M43,'Emission Factors'!$G$2:$J$2,0),0)))))</f>
        <v>#N/A</v>
      </c>
      <c r="R43" s="468" t="e">
        <f>IF($N43="CO2eq",VLOOKUP($O43,'Emission Factors'!$G$88:$J$103,MATCH($M43,'Emission Factors'!$G$87:$J$87,0),0),IF(N43="CO",VLOOKUP($O43,'Emission Factors'!$G$104:$J$119,MATCH(M43,'Emission Factors'!$G$87:$J$87,0),0),IF(N43="PM2.5",VLOOKUP(O43,'Emission Factors'!$G$120:$J$135,MATCH(M43,'Emission Factors'!$G$87:$J$87,0),0),IF(N43="NOx",VLOOKUP(O43,'Emission Factors'!$G$136:$J$151,MATCH(M43,'Emission Factors'!$G$87:$J$87,0),0),VLOOKUP(O43,'Emission Factors'!$G$152:$J$167,MATCH(M43,'Emission Factors'!$G$87:$J$87,0),0)))))</f>
        <v>#N/A</v>
      </c>
      <c r="S43" s="473" t="e">
        <f>IF($N43="CO2eq",VLOOKUP($O43,'Emission Factors'!$G$173:$J$188,MATCH($M43,'Emission Factors'!$G$172:$J$172,0),0),IF(N43="CO",VLOOKUP($O43,'Emission Factors'!$G$189:$J$204,MATCH(M43,'Emission Factors'!$G$87:$J$87,0),0),IF(N43="PM2.5",VLOOKUP(O43,'Emission Factors'!$G$205:$J$220,MATCH(M43,'Emission Factors'!$G$87:$J$87,0),0),IF(N43="NOx",VLOOKUP(O43,'Emission Factors'!$G$221:$J$236,MATCH(M43,'Emission Factors'!$G$87:$J$87,0),0),VLOOKUP(O43,'Emission Factors'!$G$237:$J$252,MATCH(M43,'Emission Factors'!$G$87:$J$87,0),0)))))</f>
        <v>#N/A</v>
      </c>
      <c r="AC43" s="85" t="s">
        <v>242</v>
      </c>
      <c r="AD43" s="86" t="s">
        <v>111</v>
      </c>
      <c r="AE43" s="87">
        <v>35</v>
      </c>
      <c r="AF43" s="86" t="s">
        <v>107</v>
      </c>
      <c r="AG43" s="92">
        <f>IF(AD43="CO2eq",VLOOKUP(AE43,'Emission Factors'!$G$3:$J$18,MATCH(AC43,'Emission Factors'!$G$2:$J$2,0),0),IF(AD43="CO",VLOOKUP($AE43,'Emission Factors'!$G$19:$J$34,MATCH(AC43,'Emission Factors'!$G$2:$J$2,0),0),IF(AD43="PM2.5",VLOOKUP(AE43,'Emission Factors'!$G$35:$J$50,MATCH(AC43,'Emission Factors'!$G$2:$J$2,0),0),IF(AD43="NOx",VLOOKUP(AE43,'Emission Factors'!$G$51:$J$66,MATCH(AC43,'Emission Factors'!$G$2:$J$2,0),0),VLOOKUP(AE43,'Emission Factors'!$G$67:$J$82,MATCH(AC43,'Emission Factors'!$G$2:$J$2,0),0)))))</f>
        <v>2.8967900000000001E-2</v>
      </c>
      <c r="AH43" s="468">
        <f>IF($AD43="CO2eq",VLOOKUP($AE43,'Emission Factors'!$G$88:$J$103,MATCH($AC43,'Emission Factors'!$G$87:$J$87,0),0),IF(AD43="CO",VLOOKUP($AE43,'Emission Factors'!$G$104:$J$119,MATCH(AC43,'Emission Factors'!$G$87:$J$87,0),0),IF(AD43="PM2.5",VLOOKUP(AE43,'Emission Factors'!$G$120:$J$135,MATCH(AC43,'Emission Factors'!$G$87:$J$87,0),0),IF(AD43="NOx",VLOOKUP(AE43,'Emission Factors'!$G$136:$J$151,MATCH(AC43,'Emission Factors'!$G$87:$J$87,0),0),VLOOKUP(AE43,'Emission Factors'!$G$152:$J$167,MATCH(AC43,'Emission Factors'!$G$87:$J$87,0),0)))))</f>
        <v>4.5390200000000004E-3</v>
      </c>
      <c r="AI43" s="473">
        <f>IF($AD43="CO2eq",VLOOKUP($AE43,'Emission Factors'!$G$88:$J$103,MATCH($AC43,'Emission Factors'!$G$87:$J$87,0),0),IF(AD43="CO",VLOOKUP($AE43,'Emission Factors'!$G$104:$J$119,MATCH(AC43,'Emission Factors'!$G$87:$J$87,0),0),IF(AD43="PM2.5",VLOOKUP(AE43,'Emission Factors'!$G$120:$J$135,MATCH(AC43,'Emission Factors'!$G$87:$J$87,0),0),IF(AD43="NOx",VLOOKUP(AE43,'Emission Factors'!$G$136:$J$151,MATCH(AC43,'Emission Factors'!$G$87:$J$87,0),0),VLOOKUP(AE43,'Emission Factors'!$G$152:$J$167,MATCH(AC43,'Emission Factors'!$G$87:$J$87,0),0)))))</f>
        <v>4.5390200000000004E-3</v>
      </c>
    </row>
    <row r="44" spans="2:35" s="18" customFormat="1" ht="15.5" x14ac:dyDescent="0.35">
      <c r="B44" s="280" t="s">
        <v>283</v>
      </c>
      <c r="C44" s="281">
        <v>2018</v>
      </c>
      <c r="D44" s="99" t="s">
        <v>295</v>
      </c>
      <c r="E44" s="72" t="s">
        <v>111</v>
      </c>
      <c r="F44" s="99" t="s">
        <v>107</v>
      </c>
      <c r="G44" s="99">
        <v>45</v>
      </c>
      <c r="H44" s="68">
        <v>3.4521899999999999E-3</v>
      </c>
      <c r="I44" s="68">
        <v>2.4265599999999998E-2</v>
      </c>
      <c r="J44" s="69">
        <v>0.26574900000000001</v>
      </c>
      <c r="K44" s="194"/>
      <c r="L44" s="194"/>
      <c r="M44" s="85" t="s">
        <v>242</v>
      </c>
      <c r="N44" s="86" t="s">
        <v>111</v>
      </c>
      <c r="O44" s="541">
        <f>IF(ROUNDUP(('Increase Corridor Speed'!$H$18/5),0)*5=15,20,ROUNDUP('Increase Corridor Speed'!$H$18/5,0)*5)</f>
        <v>0</v>
      </c>
      <c r="P44" s="86" t="s">
        <v>107</v>
      </c>
      <c r="Q44" s="92" t="e">
        <f>IF(N44="CO2eq",VLOOKUP(O44,'Emission Factors'!$G$3:$J$18,MATCH(M44,'Emission Factors'!$G$2:$J$2,0),0),IF(N44="CO",VLOOKUP($O44,'Emission Factors'!$G$19:$J$34,MATCH(M44,'Emission Factors'!$G$2:$J$2,0),0),IF(N44="PM2.5",VLOOKUP(O44,'Emission Factors'!$G$35:$J$50,MATCH(M44,'Emission Factors'!$G$2:$J$2,0),0),IF(N44="NOx",VLOOKUP(O44,'Emission Factors'!$G$51:$J$66,MATCH(M44,'Emission Factors'!$G$2:$J$2,0),0),VLOOKUP(O44,'Emission Factors'!$G$67:$J$82,MATCH(M44,'Emission Factors'!$G$2:$J$2,0),0)))))</f>
        <v>#N/A</v>
      </c>
      <c r="R44" s="468" t="e">
        <f>IF($N44="CO2eq",VLOOKUP($O44,'Emission Factors'!$G$88:$J$103,MATCH($M44,'Emission Factors'!$G$87:$J$87,0),0),IF(N44="CO",VLOOKUP($O44,'Emission Factors'!$G$104:$J$119,MATCH(M44,'Emission Factors'!$G$87:$J$87,0),0),IF(N44="PM2.5",VLOOKUP(O44,'Emission Factors'!$G$120:$J$135,MATCH(M44,'Emission Factors'!$G$87:$J$87,0),0),IF(N44="NOx",VLOOKUP(O44,'Emission Factors'!$G$136:$J$151,MATCH(M44,'Emission Factors'!$G$87:$J$87,0),0),VLOOKUP(O44,'Emission Factors'!$G$152:$J$167,MATCH(M44,'Emission Factors'!$G$87:$J$87,0),0)))))</f>
        <v>#N/A</v>
      </c>
      <c r="S44" s="473" t="e">
        <f>IF($N44="CO2eq",VLOOKUP($O44,'Emission Factors'!$G$173:$J$188,MATCH($M44,'Emission Factors'!$G$172:$J$172,0),0),IF(N44="CO",VLOOKUP($O44,'Emission Factors'!$G$189:$J$204,MATCH(M44,'Emission Factors'!$G$87:$J$87,0),0),IF(N44="PM2.5",VLOOKUP(O44,'Emission Factors'!$G$205:$J$220,MATCH(M44,'Emission Factors'!$G$87:$J$87,0),0),IF(N44="NOx",VLOOKUP(O44,'Emission Factors'!$G$221:$J$236,MATCH(M44,'Emission Factors'!$G$87:$J$87,0),0),VLOOKUP(O44,'Emission Factors'!$G$237:$J$252,MATCH(M44,'Emission Factors'!$G$87:$J$87,0),0)))))</f>
        <v>#N/A</v>
      </c>
      <c r="AC44" s="85" t="s">
        <v>242</v>
      </c>
      <c r="AD44" s="86" t="s">
        <v>111</v>
      </c>
      <c r="AE44" s="87">
        <v>35</v>
      </c>
      <c r="AF44" s="86" t="s">
        <v>107</v>
      </c>
      <c r="AG44" s="92">
        <f>IF(AD44="CO2eq",VLOOKUP(AE44,'Emission Factors'!$G$3:$J$18,MATCH(AC44,'Emission Factors'!$G$2:$J$2,0),0),IF(AD44="CO",VLOOKUP($AE44,'Emission Factors'!$G$19:$J$34,MATCH(AC44,'Emission Factors'!$G$2:$J$2,0),0),IF(AD44="PM2.5",VLOOKUP(AE44,'Emission Factors'!$G$35:$J$50,MATCH(AC44,'Emission Factors'!$G$2:$J$2,0),0),IF(AD44="NOx",VLOOKUP(AE44,'Emission Factors'!$G$51:$J$66,MATCH(AC44,'Emission Factors'!$G$2:$J$2,0),0),VLOOKUP(AE44,'Emission Factors'!$G$67:$J$82,MATCH(AC44,'Emission Factors'!$G$2:$J$2,0),0)))))</f>
        <v>2.8967900000000001E-2</v>
      </c>
      <c r="AH44" s="468">
        <f>IF($AD44="CO2eq",VLOOKUP($AE44,'Emission Factors'!$G$88:$J$103,MATCH($AC44,'Emission Factors'!$G$87:$J$87,0),0),IF(AD44="CO",VLOOKUP($AE44,'Emission Factors'!$G$104:$J$119,MATCH(AC44,'Emission Factors'!$G$87:$J$87,0),0),IF(AD44="PM2.5",VLOOKUP(AE44,'Emission Factors'!$G$120:$J$135,MATCH(AC44,'Emission Factors'!$G$87:$J$87,0),0),IF(AD44="NOx",VLOOKUP(AE44,'Emission Factors'!$G$136:$J$151,MATCH(AC44,'Emission Factors'!$G$87:$J$87,0),0),VLOOKUP(AE44,'Emission Factors'!$G$152:$J$167,MATCH(AC44,'Emission Factors'!$G$87:$J$87,0),0)))))</f>
        <v>4.5390200000000004E-3</v>
      </c>
      <c r="AI44" s="473">
        <f>IF($AD44="CO2eq",VLOOKUP($AE44,'Emission Factors'!$G$88:$J$103,MATCH($AC44,'Emission Factors'!$G$87:$J$87,0),0),IF(AD44="CO",VLOOKUP($AE44,'Emission Factors'!$G$104:$J$119,MATCH(AC44,'Emission Factors'!$G$87:$J$87,0),0),IF(AD44="PM2.5",VLOOKUP(AE44,'Emission Factors'!$G$120:$J$135,MATCH(AC44,'Emission Factors'!$G$87:$J$87,0),0),IF(AD44="NOx",VLOOKUP(AE44,'Emission Factors'!$G$136:$J$151,MATCH(AC44,'Emission Factors'!$G$87:$J$87,0),0),VLOOKUP(AE44,'Emission Factors'!$G$152:$J$167,MATCH(AC44,'Emission Factors'!$G$87:$J$87,0),0)))))</f>
        <v>4.5390200000000004E-3</v>
      </c>
    </row>
    <row r="45" spans="2:35" s="18" customFormat="1" ht="15.5" x14ac:dyDescent="0.35">
      <c r="B45" s="280" t="s">
        <v>283</v>
      </c>
      <c r="C45" s="281">
        <v>2018</v>
      </c>
      <c r="D45" s="99" t="s">
        <v>295</v>
      </c>
      <c r="E45" s="72" t="s">
        <v>111</v>
      </c>
      <c r="F45" s="99" t="s">
        <v>107</v>
      </c>
      <c r="G45" s="99">
        <v>50</v>
      </c>
      <c r="H45" s="68">
        <v>3.38405E-3</v>
      </c>
      <c r="I45" s="68">
        <v>2.3005299999999999E-2</v>
      </c>
      <c r="J45" s="69">
        <v>0.23320399999999999</v>
      </c>
      <c r="K45" s="194"/>
      <c r="L45" s="194"/>
      <c r="M45" s="85" t="s">
        <v>242</v>
      </c>
      <c r="N45" s="86" t="s">
        <v>113</v>
      </c>
      <c r="O45" s="541">
        <f>IF(ROUNDDOWN(('Increase Corridor Speed'!$H$17/5),0)*5 = 15,10,ROUNDDOWN(('Increase Corridor Speed'!$H$17/5),0)*5)</f>
        <v>0</v>
      </c>
      <c r="P45" s="86" t="s">
        <v>107</v>
      </c>
      <c r="Q45" s="92" t="e">
        <f>IF(N45="CO2eq",VLOOKUP(O45,'Emission Factors'!$G$3:$J$18,MATCH(M45,'Emission Factors'!$G$2:$J$2,0),0),IF(N45="CO",VLOOKUP($O45,'Emission Factors'!$G$19:$J$34,MATCH(M45,'Emission Factors'!$G$2:$J$2,0),0),IF(N45="PM2.5",VLOOKUP(O45,'Emission Factors'!$G$35:$J$50,MATCH(M45,'Emission Factors'!$G$2:$J$2,0),0),IF(N45="NOx",VLOOKUP(O45,'Emission Factors'!$G$51:$J$66,MATCH(M45,'Emission Factors'!$G$2:$J$2,0),0),VLOOKUP(O45,'Emission Factors'!$G$67:$J$82,MATCH(M45,'Emission Factors'!$G$2:$J$2,0),0)))))</f>
        <v>#N/A</v>
      </c>
      <c r="R45" s="468" t="e">
        <f>IF($N45="CO2eq",VLOOKUP($O45,'Emission Factors'!$G$88:$J$103,MATCH($M45,'Emission Factors'!$G$87:$J$87,0),0),IF(N45="CO",VLOOKUP($O45,'Emission Factors'!$G$104:$J$119,MATCH(M45,'Emission Factors'!$G$87:$J$87,0),0),IF(N45="PM2.5",VLOOKUP(O45,'Emission Factors'!$G$120:$J$135,MATCH(M45,'Emission Factors'!$G$87:$J$87,0),0),IF(N45="NOx",VLOOKUP(O45,'Emission Factors'!$G$136:$J$151,MATCH(M45,'Emission Factors'!$G$87:$J$87,0),0),VLOOKUP(O45,'Emission Factors'!$G$152:$J$167,MATCH(M45,'Emission Factors'!$G$87:$J$87,0),0)))))</f>
        <v>#N/A</v>
      </c>
      <c r="S45" s="473" t="e">
        <f>IF($N45="CO2eq",VLOOKUP($O45,'Emission Factors'!$G$173:$J$188,MATCH($M45,'Emission Factors'!$G$172:$J$172,0),0),IF(N45="CO",VLOOKUP($O45,'Emission Factors'!$G$189:$J$204,MATCH(M45,'Emission Factors'!$G$87:$J$87,0),0),IF(N45="PM2.5",VLOOKUP(O45,'Emission Factors'!$G$205:$J$220,MATCH(M45,'Emission Factors'!$G$87:$J$87,0),0),IF(N45="NOx",VLOOKUP(O45,'Emission Factors'!$G$221:$J$236,MATCH(M45,'Emission Factors'!$G$87:$J$87,0),0),VLOOKUP(O45,'Emission Factors'!$G$237:$J$252,MATCH(M45,'Emission Factors'!$G$87:$J$87,0),0)))))</f>
        <v>#N/A</v>
      </c>
      <c r="AC45" s="85" t="s">
        <v>242</v>
      </c>
      <c r="AD45" s="86" t="s">
        <v>113</v>
      </c>
      <c r="AE45" s="87">
        <v>35</v>
      </c>
      <c r="AF45" s="86" t="s">
        <v>107</v>
      </c>
      <c r="AG45" s="92">
        <f>IF(AD45="CO2eq",VLOOKUP(AE45,'Emission Factors'!$G$3:$J$18,MATCH(AC45,'Emission Factors'!$G$2:$J$2,0),0),IF(AD45="CO",VLOOKUP($AE45,'Emission Factors'!$G$19:$J$34,MATCH(AC45,'Emission Factors'!$G$2:$J$2,0),0),IF(AD45="PM2.5",VLOOKUP(AE45,'Emission Factors'!$G$35:$J$50,MATCH(AC45,'Emission Factors'!$G$2:$J$2,0),0),IF(AD45="NOx",VLOOKUP(AE45,'Emission Factors'!$G$51:$J$66,MATCH(AC45,'Emission Factors'!$G$2:$J$2,0),0),VLOOKUP(AE45,'Emission Factors'!$G$67:$J$82,MATCH(AC45,'Emission Factors'!$G$2:$J$2,0),0)))))</f>
        <v>1.1950400000000001</v>
      </c>
      <c r="AH45" s="468">
        <f>IF($AD45="CO2eq",VLOOKUP($AE45,'Emission Factors'!$G$88:$J$103,MATCH($AC45,'Emission Factors'!$G$87:$J$87,0),0),IF(AD45="CO",VLOOKUP($AE45,'Emission Factors'!$G$104:$J$119,MATCH(AC45,'Emission Factors'!$G$87:$J$87,0),0),IF(AD45="PM2.5",VLOOKUP(AE45,'Emission Factors'!$G$120:$J$135,MATCH(AC45,'Emission Factors'!$G$87:$J$87,0),0),IF(AD45="NOx",VLOOKUP(AE45,'Emission Factors'!$G$136:$J$151,MATCH(AC45,'Emission Factors'!$G$87:$J$87,0),0),VLOOKUP(AE45,'Emission Factors'!$G$152:$J$167,MATCH(AC45,'Emission Factors'!$G$87:$J$87,0),0)))))</f>
        <v>0.375363</v>
      </c>
      <c r="AI45" s="473">
        <f>IF($AD45="CO2eq",VLOOKUP($AE45,'Emission Factors'!$G$88:$J$103,MATCH($AC45,'Emission Factors'!$G$87:$J$87,0),0),IF(AD45="CO",VLOOKUP($AE45,'Emission Factors'!$G$104:$J$119,MATCH(AC45,'Emission Factors'!$G$87:$J$87,0),0),IF(AD45="PM2.5",VLOOKUP(AE45,'Emission Factors'!$G$120:$J$135,MATCH(AC45,'Emission Factors'!$G$87:$J$87,0),0),IF(AD45="NOx",VLOOKUP(AE45,'Emission Factors'!$G$136:$J$151,MATCH(AC45,'Emission Factors'!$G$87:$J$87,0),0),VLOOKUP(AE45,'Emission Factors'!$G$152:$J$167,MATCH(AC45,'Emission Factors'!$G$87:$J$87,0),0)))))</f>
        <v>0.375363</v>
      </c>
    </row>
    <row r="46" spans="2:35" s="18" customFormat="1" ht="15.5" x14ac:dyDescent="0.35">
      <c r="B46" s="280" t="s">
        <v>283</v>
      </c>
      <c r="C46" s="281">
        <v>2018</v>
      </c>
      <c r="D46" s="99" t="s">
        <v>295</v>
      </c>
      <c r="E46" s="72" t="s">
        <v>111</v>
      </c>
      <c r="F46" s="99" t="s">
        <v>107</v>
      </c>
      <c r="G46" s="99">
        <v>55</v>
      </c>
      <c r="H46" s="68">
        <v>3.3626799999999998E-3</v>
      </c>
      <c r="I46" s="68">
        <v>2.2043699999999999E-2</v>
      </c>
      <c r="J46" s="69">
        <v>0.19583300000000001</v>
      </c>
      <c r="K46" s="194"/>
      <c r="L46" s="194"/>
      <c r="M46" s="85" t="s">
        <v>242</v>
      </c>
      <c r="N46" s="86" t="s">
        <v>113</v>
      </c>
      <c r="O46" s="541">
        <f>IF(ROUNDUP(('Increase Corridor Speed'!$H$18/5),0)*5=15,20,ROUNDUP('Increase Corridor Speed'!$H$18/5,0)*5)</f>
        <v>0</v>
      </c>
      <c r="P46" s="86" t="s">
        <v>107</v>
      </c>
      <c r="Q46" s="92" t="e">
        <f>IF(N46="CO2eq",VLOOKUP(O46,'Emission Factors'!$G$3:$J$18,MATCH(M46,'Emission Factors'!$G$2:$J$2,0),0),IF(N46="CO",VLOOKUP($O46,'Emission Factors'!$G$19:$J$34,MATCH(M46,'Emission Factors'!$G$2:$J$2,0),0),IF(N46="PM2.5",VLOOKUP(O46,'Emission Factors'!$G$35:$J$50,MATCH(M46,'Emission Factors'!$G$2:$J$2,0),0),IF(N46="NOx",VLOOKUP(O46,'Emission Factors'!$G$51:$J$66,MATCH(M46,'Emission Factors'!$G$2:$J$2,0),0),VLOOKUP(O46,'Emission Factors'!$G$67:$J$82,MATCH(M46,'Emission Factors'!$G$2:$J$2,0),0)))))</f>
        <v>#N/A</v>
      </c>
      <c r="R46" s="468" t="e">
        <f>IF($N46="CO2eq",VLOOKUP($O46,'Emission Factors'!$G$88:$J$103,MATCH($M46,'Emission Factors'!$G$87:$J$87,0),0),IF(N46="CO",VLOOKUP($O46,'Emission Factors'!$G$104:$J$119,MATCH(M46,'Emission Factors'!$G$87:$J$87,0),0),IF(N46="PM2.5",VLOOKUP(O46,'Emission Factors'!$G$120:$J$135,MATCH(M46,'Emission Factors'!$G$87:$J$87,0),0),IF(N46="NOx",VLOOKUP(O46,'Emission Factors'!$G$136:$J$151,MATCH(M46,'Emission Factors'!$G$87:$J$87,0),0),VLOOKUP(O46,'Emission Factors'!$G$152:$J$167,MATCH(M46,'Emission Factors'!$G$87:$J$87,0),0)))))</f>
        <v>#N/A</v>
      </c>
      <c r="S46" s="473" t="e">
        <f>IF($N46="CO2eq",VLOOKUP($O46,'Emission Factors'!$G$173:$J$188,MATCH($M46,'Emission Factors'!$G$172:$J$172,0),0),IF(N46="CO",VLOOKUP($O46,'Emission Factors'!$G$189:$J$204,MATCH(M46,'Emission Factors'!$G$87:$J$87,0),0),IF(N46="PM2.5",VLOOKUP(O46,'Emission Factors'!$G$205:$J$220,MATCH(M46,'Emission Factors'!$G$87:$J$87,0),0),IF(N46="NOx",VLOOKUP(O46,'Emission Factors'!$G$221:$J$236,MATCH(M46,'Emission Factors'!$G$87:$J$87,0),0),VLOOKUP(O46,'Emission Factors'!$G$237:$J$252,MATCH(M46,'Emission Factors'!$G$87:$J$87,0),0)))))</f>
        <v>#N/A</v>
      </c>
      <c r="AC46" s="85" t="s">
        <v>242</v>
      </c>
      <c r="AD46" s="86" t="s">
        <v>113</v>
      </c>
      <c r="AE46" s="87">
        <v>35</v>
      </c>
      <c r="AF46" s="86" t="s">
        <v>107</v>
      </c>
      <c r="AG46" s="92">
        <f>IF(AD46="CO2eq",VLOOKUP(AE46,'Emission Factors'!$G$3:$J$18,MATCH(AC46,'Emission Factors'!$G$2:$J$2,0),0),IF(AD46="CO",VLOOKUP($AE46,'Emission Factors'!$G$19:$J$34,MATCH(AC46,'Emission Factors'!$G$2:$J$2,0),0),IF(AD46="PM2.5",VLOOKUP(AE46,'Emission Factors'!$G$35:$J$50,MATCH(AC46,'Emission Factors'!$G$2:$J$2,0),0),IF(AD46="NOx",VLOOKUP(AE46,'Emission Factors'!$G$51:$J$66,MATCH(AC46,'Emission Factors'!$G$2:$J$2,0),0),VLOOKUP(AE46,'Emission Factors'!$G$67:$J$82,MATCH(AC46,'Emission Factors'!$G$2:$J$2,0),0)))))</f>
        <v>1.1950400000000001</v>
      </c>
      <c r="AH46" s="468">
        <f>IF($AD46="CO2eq",VLOOKUP($AE46,'Emission Factors'!$G$88:$J$103,MATCH($AC46,'Emission Factors'!$G$87:$J$87,0),0),IF(AD46="CO",VLOOKUP($AE46,'Emission Factors'!$G$104:$J$119,MATCH(AC46,'Emission Factors'!$G$87:$J$87,0),0),IF(AD46="PM2.5",VLOOKUP(AE46,'Emission Factors'!$G$120:$J$135,MATCH(AC46,'Emission Factors'!$G$87:$J$87,0),0),IF(AD46="NOx",VLOOKUP(AE46,'Emission Factors'!$G$136:$J$151,MATCH(AC46,'Emission Factors'!$G$87:$J$87,0),0),VLOOKUP(AE46,'Emission Factors'!$G$152:$J$167,MATCH(AC46,'Emission Factors'!$G$87:$J$87,0),0)))))</f>
        <v>0.375363</v>
      </c>
      <c r="AI46" s="473">
        <f>IF($AD46="CO2eq",VLOOKUP($AE46,'Emission Factors'!$G$88:$J$103,MATCH($AC46,'Emission Factors'!$G$87:$J$87,0),0),IF(AD46="CO",VLOOKUP($AE46,'Emission Factors'!$G$104:$J$119,MATCH(AC46,'Emission Factors'!$G$87:$J$87,0),0),IF(AD46="PM2.5",VLOOKUP(AE46,'Emission Factors'!$G$120:$J$135,MATCH(AC46,'Emission Factors'!$G$87:$J$87,0),0),IF(AD46="NOx",VLOOKUP(AE46,'Emission Factors'!$G$136:$J$151,MATCH(AC46,'Emission Factors'!$G$87:$J$87,0),0),VLOOKUP(AE46,'Emission Factors'!$G$152:$J$167,MATCH(AC46,'Emission Factors'!$G$87:$J$87,0),0)))))</f>
        <v>0.375363</v>
      </c>
    </row>
    <row r="47" spans="2:35" s="18" customFormat="1" ht="15.5" x14ac:dyDescent="0.35">
      <c r="B47" s="280" t="s">
        <v>283</v>
      </c>
      <c r="C47" s="281">
        <v>2018</v>
      </c>
      <c r="D47" s="99" t="s">
        <v>295</v>
      </c>
      <c r="E47" s="72" t="s">
        <v>111</v>
      </c>
      <c r="F47" s="99" t="s">
        <v>107</v>
      </c>
      <c r="G47" s="99">
        <v>60</v>
      </c>
      <c r="H47" s="68">
        <v>3.3858299999999998E-3</v>
      </c>
      <c r="I47" s="68">
        <v>2.0922900000000001E-2</v>
      </c>
      <c r="J47" s="69">
        <v>0.17952299999999999</v>
      </c>
      <c r="K47" s="194"/>
      <c r="L47" s="194"/>
      <c r="M47" s="85" t="s">
        <v>242</v>
      </c>
      <c r="N47" s="86" t="s">
        <v>115</v>
      </c>
      <c r="O47" s="541">
        <f>IF(ROUNDDOWN(('Increase Corridor Speed'!$H$17/5),0)*5 = 15,10,ROUNDDOWN(('Increase Corridor Speed'!$H$17/5),0)*5)</f>
        <v>0</v>
      </c>
      <c r="P47" s="86" t="s">
        <v>107</v>
      </c>
      <c r="Q47" s="92" t="e">
        <f>IF(N47="CO2eq",VLOOKUP(O47,'Emission Factors'!$G$3:$J$18,MATCH(M47,'Emission Factors'!$G$2:$J$2,0),0),IF(N47="CO",VLOOKUP($O47,'Emission Factors'!$G$19:$J$34,MATCH(M47,'Emission Factors'!$G$2:$J$2,0),0),IF(N47="PM2.5",VLOOKUP(O47,'Emission Factors'!$G$35:$J$50,MATCH(M47,'Emission Factors'!$G$2:$J$2,0),0),IF(N47="NOx",VLOOKUP(O47,'Emission Factors'!$G$51:$J$66,MATCH(M47,'Emission Factors'!$G$2:$J$2,0),0),VLOOKUP(O47,'Emission Factors'!$G$67:$J$82,MATCH(M47,'Emission Factors'!$G$2:$J$2,0),0)))))</f>
        <v>#N/A</v>
      </c>
      <c r="R47" s="468" t="e">
        <f>IF($N47="CO2eq",VLOOKUP($O47,'Emission Factors'!$G$88:$J$103,MATCH($M47,'Emission Factors'!$G$87:$J$87,0),0),IF(N47="CO",VLOOKUP($O47,'Emission Factors'!$G$104:$J$119,MATCH(M47,'Emission Factors'!$G$87:$J$87,0),0),IF(N47="PM2.5",VLOOKUP(O47,'Emission Factors'!$G$120:$J$135,MATCH(M47,'Emission Factors'!$G$87:$J$87,0),0),IF(N47="NOx",VLOOKUP(O47,'Emission Factors'!$G$136:$J$151,MATCH(M47,'Emission Factors'!$G$87:$J$87,0),0),VLOOKUP(O47,'Emission Factors'!$G$152:$J$167,MATCH(M47,'Emission Factors'!$G$87:$J$87,0),0)))))</f>
        <v>#N/A</v>
      </c>
      <c r="S47" s="473" t="e">
        <f>IF($N47="CO2eq",VLOOKUP($O47,'Emission Factors'!$G$173:$J$188,MATCH($M47,'Emission Factors'!$G$172:$J$172,0),0),IF(N47="CO",VLOOKUP($O47,'Emission Factors'!$G$189:$J$204,MATCH(M47,'Emission Factors'!$G$87:$J$87,0),0),IF(N47="PM2.5",VLOOKUP(O47,'Emission Factors'!$G$205:$J$220,MATCH(M47,'Emission Factors'!$G$87:$J$87,0),0),IF(N47="NOx",VLOOKUP(O47,'Emission Factors'!$G$221:$J$236,MATCH(M47,'Emission Factors'!$G$87:$J$87,0),0),VLOOKUP(O47,'Emission Factors'!$G$237:$J$252,MATCH(M47,'Emission Factors'!$G$87:$J$87,0),0)))))</f>
        <v>#N/A</v>
      </c>
      <c r="AC47" s="85" t="s">
        <v>242</v>
      </c>
      <c r="AD47" s="86" t="s">
        <v>115</v>
      </c>
      <c r="AE47" s="87">
        <v>35</v>
      </c>
      <c r="AF47" s="86" t="s">
        <v>107</v>
      </c>
      <c r="AG47" s="92">
        <f>IF(AD47="CO2eq",VLOOKUP(AE47,'Emission Factors'!$G$3:$J$18,MATCH(AC47,'Emission Factors'!$G$2:$J$2,0),0),IF(AD47="CO",VLOOKUP($AE47,'Emission Factors'!$G$19:$J$34,MATCH(AC47,'Emission Factors'!$G$2:$J$2,0),0),IF(AD47="PM2.5",VLOOKUP(AE47,'Emission Factors'!$G$35:$J$50,MATCH(AC47,'Emission Factors'!$G$2:$J$2,0),0),IF(AD47="NOx",VLOOKUP(AE47,'Emission Factors'!$G$51:$J$66,MATCH(AC47,'Emission Factors'!$G$2:$J$2,0),0),VLOOKUP(AE47,'Emission Factors'!$G$67:$J$82,MATCH(AC47,'Emission Factors'!$G$2:$J$2,0),0)))))</f>
        <v>0.168326</v>
      </c>
      <c r="AH47" s="468">
        <f>IF($AD47="CO2eq",VLOOKUP($AE47,'Emission Factors'!$G$88:$J$103,MATCH($AC47,'Emission Factors'!$G$87:$J$87,0),0),IF(AD47="CO",VLOOKUP($AE47,'Emission Factors'!$G$104:$J$119,MATCH(AC47,'Emission Factors'!$G$87:$J$87,0),0),IF(AD47="PM2.5",VLOOKUP(AE47,'Emission Factors'!$G$120:$J$135,MATCH(AC47,'Emission Factors'!$G$87:$J$87,0),0),IF(AD47="NOx",VLOOKUP(AE47,'Emission Factors'!$G$136:$J$151,MATCH(AC47,'Emission Factors'!$G$87:$J$87,0),0),VLOOKUP(AE47,'Emission Factors'!$G$152:$J$167,MATCH(AC47,'Emission Factors'!$G$87:$J$87,0),0)))))</f>
        <v>3.5798200000000002E-2</v>
      </c>
      <c r="AI47" s="473">
        <f>IF($AD47="CO2eq",VLOOKUP($AE47,'Emission Factors'!$G$88:$J$103,MATCH($AC47,'Emission Factors'!$G$87:$J$87,0),0),IF(AD47="CO",VLOOKUP($AE47,'Emission Factors'!$G$104:$J$119,MATCH(AC47,'Emission Factors'!$G$87:$J$87,0),0),IF(AD47="PM2.5",VLOOKUP(AE47,'Emission Factors'!$G$120:$J$135,MATCH(AC47,'Emission Factors'!$G$87:$J$87,0),0),IF(AD47="NOx",VLOOKUP(AE47,'Emission Factors'!$G$136:$J$151,MATCH(AC47,'Emission Factors'!$G$87:$J$87,0),0),VLOOKUP(AE47,'Emission Factors'!$G$152:$J$167,MATCH(AC47,'Emission Factors'!$G$87:$J$87,0),0)))))</f>
        <v>3.5798200000000002E-2</v>
      </c>
    </row>
    <row r="48" spans="2:35" s="18" customFormat="1" ht="15.5" x14ac:dyDescent="0.35">
      <c r="B48" s="280" t="s">
        <v>283</v>
      </c>
      <c r="C48" s="281">
        <v>2018</v>
      </c>
      <c r="D48" s="99" t="s">
        <v>295</v>
      </c>
      <c r="E48" s="72" t="s">
        <v>111</v>
      </c>
      <c r="F48" s="99" t="s">
        <v>107</v>
      </c>
      <c r="G48" s="99">
        <v>65</v>
      </c>
      <c r="H48" s="68">
        <v>3.4665799999999999E-3</v>
      </c>
      <c r="I48" s="68">
        <v>2.07805E-2</v>
      </c>
      <c r="J48" s="69">
        <v>0.19048100000000001</v>
      </c>
      <c r="K48" s="194"/>
      <c r="L48" s="194"/>
      <c r="M48" s="91" t="s">
        <v>242</v>
      </c>
      <c r="N48" s="88" t="s">
        <v>115</v>
      </c>
      <c r="O48" s="544">
        <f>IF(ROUNDUP(('Increase Corridor Speed'!$H$18/5),0)*5=15,20,ROUNDUP('Increase Corridor Speed'!$H$18/5,0)*5)</f>
        <v>0</v>
      </c>
      <c r="P48" s="88" t="s">
        <v>107</v>
      </c>
      <c r="Q48" s="93" t="e">
        <f>IF(N48="CO2eq",VLOOKUP(O48,'Emission Factors'!$G$3:$J$18,MATCH(M48,'Emission Factors'!$G$2:$J$2,0),0),IF(N48="CO",VLOOKUP($O48,'Emission Factors'!$G$19:$J$34,MATCH(M48,'Emission Factors'!$G$2:$J$2,0),0),IF(N48="PM2.5",VLOOKUP(O48,'Emission Factors'!$G$35:$J$50,MATCH(M48,'Emission Factors'!$G$2:$J$2,0),0),IF(N48="NOx",VLOOKUP(O48,'Emission Factors'!$G$51:$J$66,MATCH(M48,'Emission Factors'!$G$2:$J$2,0),0),VLOOKUP(O48,'Emission Factors'!$G$67:$J$82,MATCH(M48,'Emission Factors'!$G$2:$J$2,0),0)))))</f>
        <v>#N/A</v>
      </c>
      <c r="R48" s="471" t="e">
        <f>IF($N48="CO2eq",VLOOKUP($O48,'Emission Factors'!$G$88:$J$103,MATCH($M48,'Emission Factors'!$G$87:$J$87,0),0),IF(N48="CO",VLOOKUP($O48,'Emission Factors'!$G$104:$J$119,MATCH(M48,'Emission Factors'!$G$87:$J$87,0),0),IF(N48="PM2.5",VLOOKUP(O48,'Emission Factors'!$G$120:$J$135,MATCH(M48,'Emission Factors'!$G$87:$J$87,0),0),IF(N48="NOx",VLOOKUP(O48,'Emission Factors'!$G$136:$J$151,MATCH(M48,'Emission Factors'!$G$87:$J$87,0),0),VLOOKUP(O48,'Emission Factors'!$G$152:$J$167,MATCH(M48,'Emission Factors'!$G$87:$J$87,0),0)))))</f>
        <v>#N/A</v>
      </c>
      <c r="S48" s="474" t="e">
        <f>IF($N48="CO2eq",VLOOKUP($O48,'Emission Factors'!$G$173:$J$188,MATCH($M48,'Emission Factors'!$G$172:$J$172,0),0),IF(N48="CO",VLOOKUP($O48,'Emission Factors'!$G$189:$J$204,MATCH(M48,'Emission Factors'!$G$87:$J$87,0),0),IF(N48="PM2.5",VLOOKUP(O48,'Emission Factors'!$G$205:$J$220,MATCH(M48,'Emission Factors'!$G$87:$J$87,0),0),IF(N48="NOx",VLOOKUP(O48,'Emission Factors'!$G$221:$J$236,MATCH(M48,'Emission Factors'!$G$87:$J$87,0),0),VLOOKUP(O48,'Emission Factors'!$G$237:$J$252,MATCH(M48,'Emission Factors'!$G$87:$J$87,0),0)))))</f>
        <v>#N/A</v>
      </c>
      <c r="AC48" s="91" t="s">
        <v>242</v>
      </c>
      <c r="AD48" s="88" t="s">
        <v>115</v>
      </c>
      <c r="AE48" s="89">
        <v>35</v>
      </c>
      <c r="AF48" s="88" t="s">
        <v>107</v>
      </c>
      <c r="AG48" s="93">
        <f>IF(AD48="CO2eq",VLOOKUP(AE48,'Emission Factors'!$G$3:$J$18,MATCH(AC48,'Emission Factors'!$G$2:$J$2,0),0),IF(AD48="CO",VLOOKUP($AE48,'Emission Factors'!$G$19:$J$34,MATCH(AC48,'Emission Factors'!$G$2:$J$2,0),0),IF(AD48="PM2.5",VLOOKUP(AE48,'Emission Factors'!$G$35:$J$50,MATCH(AC48,'Emission Factors'!$G$2:$J$2,0),0),IF(AD48="NOx",VLOOKUP(AE48,'Emission Factors'!$G$51:$J$66,MATCH(AC48,'Emission Factors'!$G$2:$J$2,0),0),VLOOKUP(AE48,'Emission Factors'!$G$67:$J$82,MATCH(AC48,'Emission Factors'!$G$2:$J$2,0),0)))))</f>
        <v>0.168326</v>
      </c>
      <c r="AH48" s="471">
        <f>IF($AD48="CO2eq",VLOOKUP($AE48,'Emission Factors'!$G$88:$J$103,MATCH($AC48,'Emission Factors'!$G$87:$J$87,0),0),IF(AD48="CO",VLOOKUP($AE48,'Emission Factors'!$G$104:$J$119,MATCH(AC48,'Emission Factors'!$G$87:$J$87,0),0),IF(AD48="PM2.5",VLOOKUP(AE48,'Emission Factors'!$G$120:$J$135,MATCH(AC48,'Emission Factors'!$G$87:$J$87,0),0),IF(AD48="NOx",VLOOKUP(AE48,'Emission Factors'!$G$136:$J$151,MATCH(AC48,'Emission Factors'!$G$87:$J$87,0),0),VLOOKUP(AE48,'Emission Factors'!$G$152:$J$167,MATCH(AC48,'Emission Factors'!$G$87:$J$87,0),0)))))</f>
        <v>3.5798200000000002E-2</v>
      </c>
      <c r="AI48" s="474">
        <f>IF($AD48="CO2eq",VLOOKUP($AE48,'Emission Factors'!$G$88:$J$103,MATCH($AC48,'Emission Factors'!$G$87:$J$87,0),0),IF(AD48="CO",VLOOKUP($AE48,'Emission Factors'!$G$104:$J$119,MATCH(AC48,'Emission Factors'!$G$87:$J$87,0),0),IF(AD48="PM2.5",VLOOKUP(AE48,'Emission Factors'!$G$120:$J$135,MATCH(AC48,'Emission Factors'!$G$87:$J$87,0),0),IF(AD48="NOx",VLOOKUP(AE48,'Emission Factors'!$G$136:$J$151,MATCH(AC48,'Emission Factors'!$G$87:$J$87,0),0),VLOOKUP(AE48,'Emission Factors'!$G$152:$J$167,MATCH(AC48,'Emission Factors'!$G$87:$J$87,0),0)))))</f>
        <v>3.5798200000000002E-2</v>
      </c>
    </row>
    <row r="49" spans="2:24" s="18" customFormat="1" ht="15.5" x14ac:dyDescent="0.35">
      <c r="B49" s="280" t="s">
        <v>283</v>
      </c>
      <c r="C49" s="281">
        <v>2018</v>
      </c>
      <c r="D49" s="99" t="s">
        <v>295</v>
      </c>
      <c r="E49" s="72" t="s">
        <v>111</v>
      </c>
      <c r="F49" s="99" t="s">
        <v>107</v>
      </c>
      <c r="G49" s="99">
        <v>70</v>
      </c>
      <c r="H49" s="68">
        <v>3.6909199999999999E-3</v>
      </c>
      <c r="I49" s="68">
        <v>2.08805E-2</v>
      </c>
      <c r="J49" s="69">
        <v>0.199874</v>
      </c>
      <c r="K49" s="194"/>
      <c r="L49" s="194"/>
    </row>
    <row r="50" spans="2:24" s="18" customFormat="1" ht="15.5" x14ac:dyDescent="0.35">
      <c r="B50" s="282" t="s">
        <v>283</v>
      </c>
      <c r="C50" s="283">
        <v>2018</v>
      </c>
      <c r="D50" s="51" t="s">
        <v>295</v>
      </c>
      <c r="E50" s="73" t="s">
        <v>111</v>
      </c>
      <c r="F50" s="51" t="s">
        <v>107</v>
      </c>
      <c r="G50" s="51">
        <v>75</v>
      </c>
      <c r="H50" s="70">
        <v>4.1420399999999996E-3</v>
      </c>
      <c r="I50" s="70">
        <v>2.10359E-2</v>
      </c>
      <c r="J50" s="71">
        <v>0.21445500000000001</v>
      </c>
      <c r="K50" s="194"/>
      <c r="L50" s="194"/>
      <c r="R50" s="194"/>
      <c r="S50" s="194"/>
      <c r="T50" s="194"/>
      <c r="U50" s="194"/>
      <c r="V50" s="194"/>
      <c r="W50" s="194"/>
      <c r="X50" s="194"/>
    </row>
    <row r="51" spans="2:24" s="18" customFormat="1" ht="15.5" x14ac:dyDescent="0.35">
      <c r="B51" s="278" t="s">
        <v>283</v>
      </c>
      <c r="C51" s="279">
        <v>2018</v>
      </c>
      <c r="D51" s="217" t="s">
        <v>284</v>
      </c>
      <c r="E51" s="78" t="s">
        <v>113</v>
      </c>
      <c r="F51" s="217" t="s">
        <v>107</v>
      </c>
      <c r="G51" s="217">
        <v>2.5</v>
      </c>
      <c r="H51" s="79">
        <v>0.65027000000000001</v>
      </c>
      <c r="I51" s="79">
        <v>6.2455299999999996</v>
      </c>
      <c r="J51" s="80">
        <v>53.4572</v>
      </c>
      <c r="K51" s="194"/>
      <c r="L51" s="194"/>
      <c r="R51" s="194"/>
      <c r="S51" s="194"/>
      <c r="T51" s="194"/>
      <c r="U51" s="194"/>
      <c r="V51" s="194"/>
      <c r="W51" s="194"/>
      <c r="X51" s="194"/>
    </row>
    <row r="52" spans="2:24" s="18" customFormat="1" ht="15.5" x14ac:dyDescent="0.35">
      <c r="B52" s="280" t="s">
        <v>283</v>
      </c>
      <c r="C52" s="281">
        <v>2018</v>
      </c>
      <c r="D52" s="99" t="s">
        <v>284</v>
      </c>
      <c r="E52" s="72" t="s">
        <v>113</v>
      </c>
      <c r="F52" s="99" t="s">
        <v>107</v>
      </c>
      <c r="G52" s="99">
        <v>5</v>
      </c>
      <c r="H52" s="68">
        <v>0.49392999999999998</v>
      </c>
      <c r="I52" s="68">
        <v>3.5966</v>
      </c>
      <c r="J52" s="69">
        <v>28.6905</v>
      </c>
      <c r="K52" s="194"/>
      <c r="L52" s="194"/>
      <c r="R52" s="194"/>
      <c r="S52" s="194"/>
      <c r="T52" s="194"/>
      <c r="U52" s="194"/>
      <c r="V52" s="194"/>
      <c r="W52" s="194"/>
      <c r="X52" s="194"/>
    </row>
    <row r="53" spans="2:24" s="18" customFormat="1" ht="15.5" x14ac:dyDescent="0.35">
      <c r="B53" s="280" t="s">
        <v>283</v>
      </c>
      <c r="C53" s="281">
        <v>2018</v>
      </c>
      <c r="D53" s="99" t="s">
        <v>284</v>
      </c>
      <c r="E53" s="72" t="s">
        <v>113</v>
      </c>
      <c r="F53" s="99" t="s">
        <v>107</v>
      </c>
      <c r="G53" s="99">
        <v>10</v>
      </c>
      <c r="H53" s="68">
        <v>0.41576099999999999</v>
      </c>
      <c r="I53" s="68">
        <v>2.3291300000000001</v>
      </c>
      <c r="J53" s="69">
        <v>17.359400000000001</v>
      </c>
      <c r="K53" s="194"/>
      <c r="L53" s="194"/>
      <c r="R53" s="194"/>
      <c r="S53" s="194"/>
      <c r="T53" s="194"/>
      <c r="U53" s="194"/>
      <c r="V53" s="194"/>
      <c r="W53" s="194"/>
      <c r="X53" s="194"/>
    </row>
    <row r="54" spans="2:24" s="18" customFormat="1" ht="15.5" x14ac:dyDescent="0.35">
      <c r="B54" s="280" t="s">
        <v>283</v>
      </c>
      <c r="C54" s="281">
        <v>2018</v>
      </c>
      <c r="D54" s="99" t="s">
        <v>284</v>
      </c>
      <c r="E54" s="72" t="s">
        <v>113</v>
      </c>
      <c r="F54" s="99" t="s">
        <v>107</v>
      </c>
      <c r="G54" s="99">
        <v>20</v>
      </c>
      <c r="H54" s="68">
        <v>0.37330799999999997</v>
      </c>
      <c r="I54" s="68">
        <v>1.64655</v>
      </c>
      <c r="J54" s="69">
        <v>12.401</v>
      </c>
      <c r="K54" s="194"/>
      <c r="L54" s="194"/>
      <c r="R54" s="194"/>
      <c r="S54" s="194"/>
      <c r="T54" s="194"/>
      <c r="U54" s="194"/>
      <c r="V54" s="194"/>
      <c r="W54" s="194"/>
      <c r="X54" s="194"/>
    </row>
    <row r="55" spans="2:24" s="18" customFormat="1" ht="15.5" x14ac:dyDescent="0.35">
      <c r="B55" s="280" t="s">
        <v>283</v>
      </c>
      <c r="C55" s="281">
        <v>2018</v>
      </c>
      <c r="D55" s="99" t="s">
        <v>284</v>
      </c>
      <c r="E55" s="72" t="s">
        <v>113</v>
      </c>
      <c r="F55" s="99" t="s">
        <v>107</v>
      </c>
      <c r="G55" s="99">
        <v>25</v>
      </c>
      <c r="H55" s="68">
        <v>0.38970399999999999</v>
      </c>
      <c r="I55" s="68">
        <v>1.9120299999999999</v>
      </c>
      <c r="J55" s="69">
        <v>14.357699999999999</v>
      </c>
      <c r="K55" s="194"/>
      <c r="L55" s="194"/>
      <c r="R55" s="194"/>
      <c r="S55" s="194"/>
      <c r="T55" s="194"/>
      <c r="U55" s="194"/>
      <c r="V55" s="194"/>
      <c r="W55" s="194"/>
      <c r="X55" s="194"/>
    </row>
    <row r="56" spans="2:24" s="18" customFormat="1" ht="15.5" x14ac:dyDescent="0.35">
      <c r="B56" s="280" t="s">
        <v>283</v>
      </c>
      <c r="C56" s="281">
        <v>2018</v>
      </c>
      <c r="D56" s="99" t="s">
        <v>284</v>
      </c>
      <c r="E56" s="72" t="s">
        <v>113</v>
      </c>
      <c r="F56" s="99" t="s">
        <v>107</v>
      </c>
      <c r="G56" s="99">
        <v>25</v>
      </c>
      <c r="H56" s="68">
        <v>0.35669099999999998</v>
      </c>
      <c r="I56" s="68">
        <v>1.45502</v>
      </c>
      <c r="J56" s="69">
        <v>11.144</v>
      </c>
      <c r="K56" s="194"/>
      <c r="L56" s="194"/>
      <c r="R56" s="194"/>
      <c r="S56" s="194"/>
      <c r="T56" s="194"/>
      <c r="U56" s="194"/>
      <c r="V56" s="194"/>
      <c r="W56" s="194"/>
      <c r="X56" s="194"/>
    </row>
    <row r="57" spans="2:24" s="18" customFormat="1" ht="15.5" x14ac:dyDescent="0.35">
      <c r="B57" s="280" t="s">
        <v>283</v>
      </c>
      <c r="C57" s="281">
        <v>2018</v>
      </c>
      <c r="D57" s="99" t="s">
        <v>284</v>
      </c>
      <c r="E57" s="72" t="s">
        <v>113</v>
      </c>
      <c r="F57" s="99" t="s">
        <v>107</v>
      </c>
      <c r="G57" s="99">
        <v>30</v>
      </c>
      <c r="H57" s="68">
        <v>0.32478800000000002</v>
      </c>
      <c r="I57" s="68">
        <v>1.33714</v>
      </c>
      <c r="J57" s="69">
        <v>10.614000000000001</v>
      </c>
      <c r="K57" s="194"/>
      <c r="L57" s="194"/>
      <c r="R57" s="194"/>
      <c r="S57" s="194"/>
      <c r="T57" s="194"/>
      <c r="U57" s="194"/>
      <c r="V57" s="194"/>
      <c r="W57" s="194"/>
      <c r="X57" s="194"/>
    </row>
    <row r="58" spans="2:24" s="18" customFormat="1" ht="15.5" x14ac:dyDescent="0.35">
      <c r="B58" s="280" t="s">
        <v>283</v>
      </c>
      <c r="C58" s="281">
        <v>2018</v>
      </c>
      <c r="D58" s="99" t="s">
        <v>284</v>
      </c>
      <c r="E58" s="72" t="s">
        <v>113</v>
      </c>
      <c r="F58" s="99" t="s">
        <v>107</v>
      </c>
      <c r="G58" s="99">
        <v>35</v>
      </c>
      <c r="H58" s="68">
        <v>0.31547700000000001</v>
      </c>
      <c r="I58" s="68">
        <v>1.1950400000000001</v>
      </c>
      <c r="J58" s="69">
        <v>9.1585300000000007</v>
      </c>
      <c r="K58" s="194"/>
      <c r="L58" s="194"/>
      <c r="R58" s="194"/>
      <c r="S58" s="194"/>
      <c r="T58" s="194"/>
      <c r="U58" s="194"/>
      <c r="V58" s="194"/>
      <c r="W58" s="194"/>
      <c r="X58" s="194"/>
    </row>
    <row r="59" spans="2:24" s="18" customFormat="1" ht="15.5" x14ac:dyDescent="0.35">
      <c r="B59" s="280" t="s">
        <v>283</v>
      </c>
      <c r="C59" s="281">
        <v>2018</v>
      </c>
      <c r="D59" s="99" t="s">
        <v>284</v>
      </c>
      <c r="E59" s="72" t="s">
        <v>113</v>
      </c>
      <c r="F59" s="99" t="s">
        <v>107</v>
      </c>
      <c r="G59" s="99">
        <v>40</v>
      </c>
      <c r="H59" s="68">
        <v>0.311857</v>
      </c>
      <c r="I59" s="68">
        <v>1.1288800000000001</v>
      </c>
      <c r="J59" s="69">
        <v>8.7442600000000006</v>
      </c>
      <c r="K59" s="194"/>
      <c r="L59" s="194"/>
      <c r="R59" s="194"/>
      <c r="S59" s="194"/>
      <c r="T59" s="194"/>
      <c r="U59" s="194"/>
      <c r="V59" s="194"/>
      <c r="W59" s="194"/>
      <c r="X59" s="194"/>
    </row>
    <row r="60" spans="2:24" s="18" customFormat="1" ht="15.5" x14ac:dyDescent="0.35">
      <c r="B60" s="280" t="s">
        <v>283</v>
      </c>
      <c r="C60" s="281">
        <v>2018</v>
      </c>
      <c r="D60" s="99" t="s">
        <v>284</v>
      </c>
      <c r="E60" s="72" t="s">
        <v>113</v>
      </c>
      <c r="F60" s="99" t="s">
        <v>107</v>
      </c>
      <c r="G60" s="99">
        <v>45</v>
      </c>
      <c r="H60" s="68">
        <v>0.31151899999999999</v>
      </c>
      <c r="I60" s="68">
        <v>1.0781499999999999</v>
      </c>
      <c r="J60" s="69">
        <v>8.4220500000000005</v>
      </c>
      <c r="K60" s="194"/>
      <c r="L60" s="194"/>
      <c r="R60" s="194"/>
      <c r="S60" s="194"/>
      <c r="T60" s="194"/>
      <c r="U60" s="194"/>
      <c r="V60" s="194"/>
      <c r="W60" s="194"/>
      <c r="X60" s="194"/>
    </row>
    <row r="61" spans="2:24" s="18" customFormat="1" ht="15.5" x14ac:dyDescent="0.35">
      <c r="B61" s="280" t="s">
        <v>283</v>
      </c>
      <c r="C61" s="281">
        <v>2018</v>
      </c>
      <c r="D61" s="99" t="s">
        <v>284</v>
      </c>
      <c r="E61" s="72" t="s">
        <v>113</v>
      </c>
      <c r="F61" s="99" t="s">
        <v>107</v>
      </c>
      <c r="G61" s="99">
        <v>50</v>
      </c>
      <c r="H61" s="68">
        <v>0.31544899999999998</v>
      </c>
      <c r="I61" s="68">
        <v>1.0408299999999999</v>
      </c>
      <c r="J61" s="69">
        <v>8.0511800000000004</v>
      </c>
      <c r="K61" s="194"/>
      <c r="L61" s="194"/>
      <c r="R61" s="194"/>
      <c r="S61" s="194"/>
      <c r="T61" s="194"/>
      <c r="U61" s="194"/>
      <c r="V61" s="194"/>
      <c r="W61" s="194"/>
      <c r="X61" s="194"/>
    </row>
    <row r="62" spans="2:24" s="18" customFormat="1" ht="15.5" x14ac:dyDescent="0.35">
      <c r="B62" s="280" t="s">
        <v>283</v>
      </c>
      <c r="C62" s="281">
        <v>2018</v>
      </c>
      <c r="D62" s="99" t="s">
        <v>284</v>
      </c>
      <c r="E62" s="72" t="s">
        <v>113</v>
      </c>
      <c r="F62" s="99" t="s">
        <v>107</v>
      </c>
      <c r="G62" s="99">
        <v>55</v>
      </c>
      <c r="H62" s="68">
        <v>0.322274</v>
      </c>
      <c r="I62" s="68">
        <v>1.01393</v>
      </c>
      <c r="J62" s="69">
        <v>7.7024800000000004</v>
      </c>
      <c r="K62" s="194"/>
      <c r="L62" s="194"/>
      <c r="R62" s="194"/>
      <c r="S62" s="194"/>
      <c r="T62" s="194"/>
      <c r="U62" s="194"/>
      <c r="V62" s="194"/>
      <c r="W62" s="194"/>
      <c r="X62" s="194"/>
    </row>
    <row r="63" spans="2:24" s="18" customFormat="1" ht="15.5" x14ac:dyDescent="0.35">
      <c r="B63" s="280" t="s">
        <v>283</v>
      </c>
      <c r="C63" s="281">
        <v>2018</v>
      </c>
      <c r="D63" s="99" t="s">
        <v>284</v>
      </c>
      <c r="E63" s="72" t="s">
        <v>113</v>
      </c>
      <c r="F63" s="99" t="s">
        <v>107</v>
      </c>
      <c r="G63" s="99">
        <v>60</v>
      </c>
      <c r="H63" s="68">
        <v>0.332264</v>
      </c>
      <c r="I63" s="68">
        <v>0.98598600000000003</v>
      </c>
      <c r="J63" s="69">
        <v>7.6381500000000004</v>
      </c>
      <c r="K63" s="194"/>
      <c r="L63" s="194"/>
      <c r="R63" s="194"/>
      <c r="S63" s="194"/>
      <c r="T63" s="194"/>
      <c r="U63" s="194"/>
      <c r="V63" s="194"/>
      <c r="W63" s="194"/>
      <c r="X63" s="194"/>
    </row>
    <row r="64" spans="2:24" s="18" customFormat="1" ht="15.5" x14ac:dyDescent="0.35">
      <c r="B64" s="280" t="s">
        <v>283</v>
      </c>
      <c r="C64" s="281">
        <v>2018</v>
      </c>
      <c r="D64" s="99" t="s">
        <v>284</v>
      </c>
      <c r="E64" s="72" t="s">
        <v>113</v>
      </c>
      <c r="F64" s="99" t="s">
        <v>107</v>
      </c>
      <c r="G64" s="99">
        <v>65</v>
      </c>
      <c r="H64" s="68">
        <v>0.347667</v>
      </c>
      <c r="I64" s="68">
        <v>1.0117700000000001</v>
      </c>
      <c r="J64" s="69">
        <v>8.1639499999999998</v>
      </c>
      <c r="K64" s="194"/>
      <c r="L64" s="194"/>
      <c r="R64" s="194"/>
      <c r="S64" s="194"/>
      <c r="T64" s="194"/>
      <c r="U64" s="194"/>
      <c r="V64" s="194"/>
      <c r="W64" s="194"/>
      <c r="X64" s="194"/>
    </row>
    <row r="65" spans="2:24" s="18" customFormat="1" ht="15.5" x14ac:dyDescent="0.35">
      <c r="B65" s="280" t="s">
        <v>283</v>
      </c>
      <c r="C65" s="281">
        <v>2018</v>
      </c>
      <c r="D65" s="99" t="s">
        <v>284</v>
      </c>
      <c r="E65" s="72" t="s">
        <v>113</v>
      </c>
      <c r="F65" s="99" t="s">
        <v>107</v>
      </c>
      <c r="G65" s="99">
        <v>70</v>
      </c>
      <c r="H65" s="68">
        <v>0.378498</v>
      </c>
      <c r="I65" s="68">
        <v>1.04945</v>
      </c>
      <c r="J65" s="69">
        <v>8.61463</v>
      </c>
      <c r="K65" s="194"/>
      <c r="L65" s="194"/>
      <c r="R65" s="194"/>
      <c r="S65" s="194"/>
      <c r="T65" s="194"/>
      <c r="U65" s="194"/>
      <c r="V65" s="194"/>
      <c r="W65" s="194"/>
      <c r="X65" s="194"/>
    </row>
    <row r="66" spans="2:24" s="18" customFormat="1" ht="15.5" x14ac:dyDescent="0.35">
      <c r="B66" s="282" t="s">
        <v>283</v>
      </c>
      <c r="C66" s="283">
        <v>2018</v>
      </c>
      <c r="D66" s="51" t="s">
        <v>284</v>
      </c>
      <c r="E66" s="73" t="s">
        <v>113</v>
      </c>
      <c r="F66" s="51" t="s">
        <v>107</v>
      </c>
      <c r="G66" s="51">
        <v>75</v>
      </c>
      <c r="H66" s="70">
        <v>0.418989</v>
      </c>
      <c r="I66" s="70">
        <v>1.0891900000000001</v>
      </c>
      <c r="J66" s="71">
        <v>9.1229099999999992</v>
      </c>
      <c r="K66" s="194"/>
      <c r="L66" s="194"/>
      <c r="M66" s="194"/>
      <c r="N66" s="222"/>
      <c r="O66" s="194"/>
      <c r="P66" s="194"/>
      <c r="Q66" s="194"/>
      <c r="R66" s="194"/>
      <c r="S66" s="194"/>
      <c r="T66" s="194"/>
      <c r="U66" s="194"/>
      <c r="V66" s="194"/>
      <c r="W66" s="194"/>
      <c r="X66" s="194"/>
    </row>
    <row r="67" spans="2:24" s="18" customFormat="1" ht="15.5" x14ac:dyDescent="0.35">
      <c r="B67" s="284" t="s">
        <v>283</v>
      </c>
      <c r="C67" s="285">
        <v>2018</v>
      </c>
      <c r="D67" s="98" t="s">
        <v>284</v>
      </c>
      <c r="E67" s="74" t="s">
        <v>115</v>
      </c>
      <c r="F67" s="98" t="s">
        <v>107</v>
      </c>
      <c r="G67" s="98">
        <v>2.5</v>
      </c>
      <c r="H67" s="75">
        <v>0.33264700000000003</v>
      </c>
      <c r="I67" s="75">
        <v>1.23878</v>
      </c>
      <c r="J67" s="76">
        <v>3.4739</v>
      </c>
      <c r="K67" s="194"/>
      <c r="L67" s="194"/>
      <c r="M67" s="194"/>
      <c r="N67" s="222"/>
      <c r="O67" s="194"/>
      <c r="P67" s="194"/>
      <c r="Q67" s="194"/>
      <c r="R67" s="194"/>
      <c r="S67" s="194"/>
      <c r="T67" s="194"/>
      <c r="U67" s="194"/>
      <c r="V67" s="194"/>
      <c r="W67" s="194"/>
      <c r="X67" s="194"/>
    </row>
    <row r="68" spans="2:24" s="18" customFormat="1" ht="15.5" x14ac:dyDescent="0.35">
      <c r="B68" s="280" t="s">
        <v>283</v>
      </c>
      <c r="C68" s="281">
        <v>2018</v>
      </c>
      <c r="D68" s="99" t="s">
        <v>284</v>
      </c>
      <c r="E68" s="72" t="s">
        <v>115</v>
      </c>
      <c r="F68" s="99" t="s">
        <v>107</v>
      </c>
      <c r="G68" s="99">
        <v>5</v>
      </c>
      <c r="H68" s="68">
        <v>0.19781399999999999</v>
      </c>
      <c r="I68" s="68">
        <v>0.70912600000000003</v>
      </c>
      <c r="J68" s="69">
        <v>1.90184</v>
      </c>
      <c r="K68" s="194"/>
      <c r="L68" s="194"/>
      <c r="M68" s="194"/>
      <c r="N68" s="222"/>
      <c r="O68" s="194"/>
      <c r="P68" s="194"/>
      <c r="Q68" s="194"/>
      <c r="R68" s="194"/>
      <c r="S68" s="194"/>
      <c r="T68" s="194"/>
      <c r="U68" s="194"/>
      <c r="V68" s="194"/>
      <c r="W68" s="194"/>
      <c r="X68" s="194"/>
    </row>
    <row r="69" spans="2:24" s="18" customFormat="1" ht="15.5" x14ac:dyDescent="0.35">
      <c r="B69" s="280" t="s">
        <v>283</v>
      </c>
      <c r="C69" s="281">
        <v>2018</v>
      </c>
      <c r="D69" s="99" t="s">
        <v>284</v>
      </c>
      <c r="E69" s="72" t="s">
        <v>115</v>
      </c>
      <c r="F69" s="99" t="s">
        <v>107</v>
      </c>
      <c r="G69" s="99">
        <v>10</v>
      </c>
      <c r="H69" s="68">
        <v>0.13039700000000001</v>
      </c>
      <c r="I69" s="68">
        <v>0.42927399999999999</v>
      </c>
      <c r="J69" s="69">
        <v>1.01902</v>
      </c>
      <c r="K69" s="194"/>
      <c r="L69" s="194"/>
      <c r="M69" s="194"/>
      <c r="N69" s="222"/>
      <c r="O69" s="194"/>
      <c r="P69" s="194"/>
      <c r="Q69" s="194"/>
      <c r="R69" s="194"/>
      <c r="S69" s="194"/>
      <c r="T69" s="194"/>
      <c r="U69" s="194"/>
      <c r="V69" s="194"/>
      <c r="W69" s="194"/>
      <c r="X69" s="194"/>
    </row>
    <row r="70" spans="2:24" s="18" customFormat="1" ht="15.5" x14ac:dyDescent="0.35">
      <c r="B70" s="280" t="s">
        <v>283</v>
      </c>
      <c r="C70" s="281">
        <v>2018</v>
      </c>
      <c r="D70" s="99" t="s">
        <v>284</v>
      </c>
      <c r="E70" s="72" t="s">
        <v>115</v>
      </c>
      <c r="F70" s="99" t="s">
        <v>107</v>
      </c>
      <c r="G70" s="99">
        <v>20</v>
      </c>
      <c r="H70" s="68">
        <v>9.52186E-2</v>
      </c>
      <c r="I70" s="68">
        <v>0.27656500000000001</v>
      </c>
      <c r="J70" s="69">
        <v>0.54294799999999999</v>
      </c>
      <c r="K70" s="194"/>
      <c r="L70" s="194"/>
      <c r="M70" s="194"/>
      <c r="N70" s="222"/>
      <c r="O70" s="194"/>
      <c r="P70" s="194"/>
      <c r="Q70" s="194"/>
      <c r="R70" s="194"/>
      <c r="S70" s="194"/>
      <c r="T70" s="194"/>
      <c r="U70" s="194"/>
      <c r="V70" s="194"/>
      <c r="W70" s="194"/>
      <c r="X70" s="194"/>
    </row>
    <row r="71" spans="2:24" s="18" customFormat="1" ht="15.5" x14ac:dyDescent="0.35">
      <c r="B71" s="280" t="s">
        <v>283</v>
      </c>
      <c r="C71" s="281">
        <v>2018</v>
      </c>
      <c r="D71" s="99" t="s">
        <v>284</v>
      </c>
      <c r="E71" s="72" t="s">
        <v>115</v>
      </c>
      <c r="F71" s="99" t="s">
        <v>107</v>
      </c>
      <c r="G71" s="99">
        <v>25</v>
      </c>
      <c r="H71" s="68">
        <v>0.10792499999999999</v>
      </c>
      <c r="I71" s="68">
        <v>0.333011</v>
      </c>
      <c r="J71" s="69">
        <v>0.70477500000000004</v>
      </c>
      <c r="K71" s="194"/>
      <c r="L71" s="194"/>
      <c r="M71" s="194"/>
      <c r="N71" s="222"/>
      <c r="O71" s="194"/>
      <c r="P71" s="194"/>
      <c r="Q71" s="194"/>
      <c r="R71" s="194"/>
      <c r="S71" s="194"/>
      <c r="T71" s="194"/>
      <c r="U71" s="194"/>
      <c r="V71" s="194"/>
      <c r="W71" s="194"/>
      <c r="X71" s="194"/>
    </row>
    <row r="72" spans="2:24" s="18" customFormat="1" ht="15.5" x14ac:dyDescent="0.35">
      <c r="B72" s="280" t="s">
        <v>283</v>
      </c>
      <c r="C72" s="281">
        <v>2018</v>
      </c>
      <c r="D72" s="99" t="s">
        <v>284</v>
      </c>
      <c r="E72" s="72" t="s">
        <v>115</v>
      </c>
      <c r="F72" s="99" t="s">
        <v>107</v>
      </c>
      <c r="G72" s="99">
        <v>25</v>
      </c>
      <c r="H72" s="68">
        <v>8.4633899999999998E-2</v>
      </c>
      <c r="I72" s="68">
        <v>0.23042799999999999</v>
      </c>
      <c r="J72" s="69">
        <v>0.460482</v>
      </c>
      <c r="K72" s="194"/>
      <c r="L72" s="194"/>
      <c r="M72" s="194"/>
      <c r="N72" s="222"/>
      <c r="O72" s="194"/>
      <c r="P72" s="194"/>
      <c r="Q72" s="194"/>
      <c r="R72" s="194"/>
      <c r="S72" s="194"/>
      <c r="T72" s="194"/>
      <c r="U72" s="194"/>
      <c r="V72" s="194"/>
      <c r="W72" s="194"/>
      <c r="X72" s="194"/>
    </row>
    <row r="73" spans="2:24" s="18" customFormat="1" ht="15.5" x14ac:dyDescent="0.35">
      <c r="B73" s="280" t="s">
        <v>283</v>
      </c>
      <c r="C73" s="281">
        <v>2018</v>
      </c>
      <c r="D73" s="99" t="s">
        <v>284</v>
      </c>
      <c r="E73" s="72" t="s">
        <v>115</v>
      </c>
      <c r="F73" s="99" t="s">
        <v>107</v>
      </c>
      <c r="G73" s="99">
        <v>30</v>
      </c>
      <c r="H73" s="68">
        <v>7.4604199999999996E-2</v>
      </c>
      <c r="I73" s="68">
        <v>0.19833100000000001</v>
      </c>
      <c r="J73" s="69">
        <v>0.40498200000000001</v>
      </c>
      <c r="K73" s="194"/>
      <c r="L73" s="194"/>
      <c r="M73" s="194"/>
      <c r="N73" s="222"/>
      <c r="O73" s="194"/>
      <c r="P73" s="194"/>
      <c r="Q73" s="194"/>
      <c r="R73" s="194"/>
      <c r="S73" s="194"/>
      <c r="T73" s="194"/>
      <c r="U73" s="194"/>
      <c r="V73" s="194"/>
      <c r="W73" s="194"/>
      <c r="X73" s="194"/>
    </row>
    <row r="74" spans="2:24" s="18" customFormat="1" ht="15.5" x14ac:dyDescent="0.35">
      <c r="B74" s="280" t="s">
        <v>283</v>
      </c>
      <c r="C74" s="281">
        <v>2018</v>
      </c>
      <c r="D74" s="99" t="s">
        <v>284</v>
      </c>
      <c r="E74" s="72" t="s">
        <v>115</v>
      </c>
      <c r="F74" s="99" t="s">
        <v>107</v>
      </c>
      <c r="G74" s="99">
        <v>35</v>
      </c>
      <c r="H74" s="68">
        <v>6.5010700000000005E-2</v>
      </c>
      <c r="I74" s="68">
        <v>0.168326</v>
      </c>
      <c r="J74" s="69">
        <v>0.369452</v>
      </c>
      <c r="K74" s="194"/>
      <c r="L74" s="194"/>
      <c r="M74" s="194"/>
      <c r="N74" s="222"/>
      <c r="O74" s="194"/>
      <c r="P74" s="194"/>
      <c r="Q74" s="194"/>
      <c r="R74" s="194"/>
      <c r="S74" s="194"/>
      <c r="T74" s="194"/>
      <c r="U74" s="194"/>
      <c r="V74" s="194"/>
      <c r="W74" s="194"/>
      <c r="X74" s="194"/>
    </row>
    <row r="75" spans="2:24" s="18" customFormat="1" ht="15.5" x14ac:dyDescent="0.35">
      <c r="B75" s="280" t="s">
        <v>283</v>
      </c>
      <c r="C75" s="281">
        <v>2018</v>
      </c>
      <c r="D75" s="99" t="s">
        <v>284</v>
      </c>
      <c r="E75" s="72" t="s">
        <v>115</v>
      </c>
      <c r="F75" s="99" t="s">
        <v>107</v>
      </c>
      <c r="G75" s="99">
        <v>40</v>
      </c>
      <c r="H75" s="68">
        <v>5.7315699999999997E-2</v>
      </c>
      <c r="I75" s="68">
        <v>0.14438699999999999</v>
      </c>
      <c r="J75" s="69">
        <v>0.34330899999999998</v>
      </c>
      <c r="K75" s="194"/>
      <c r="L75" s="194"/>
      <c r="M75" s="194"/>
      <c r="N75" s="222"/>
      <c r="O75" s="194"/>
      <c r="P75" s="194"/>
      <c r="Q75" s="194"/>
      <c r="R75" s="194"/>
      <c r="S75" s="194"/>
      <c r="T75" s="194"/>
      <c r="U75" s="194"/>
      <c r="V75" s="194"/>
      <c r="W75" s="194"/>
      <c r="X75" s="194"/>
    </row>
    <row r="76" spans="2:24" s="18" customFormat="1" ht="15.5" x14ac:dyDescent="0.35">
      <c r="B76" s="280" t="s">
        <v>283</v>
      </c>
      <c r="C76" s="281">
        <v>2018</v>
      </c>
      <c r="D76" s="99" t="s">
        <v>284</v>
      </c>
      <c r="E76" s="72" t="s">
        <v>115</v>
      </c>
      <c r="F76" s="99" t="s">
        <v>107</v>
      </c>
      <c r="G76" s="99">
        <v>45</v>
      </c>
      <c r="H76" s="68">
        <v>5.18758E-2</v>
      </c>
      <c r="I76" s="68">
        <v>0.12606999999999999</v>
      </c>
      <c r="J76" s="69">
        <v>0.32297500000000001</v>
      </c>
      <c r="K76" s="194"/>
      <c r="L76" s="194"/>
      <c r="M76" s="194"/>
      <c r="N76" s="222"/>
      <c r="O76" s="194"/>
      <c r="P76" s="194"/>
      <c r="Q76" s="194"/>
      <c r="R76" s="194"/>
      <c r="S76" s="194"/>
      <c r="T76" s="194"/>
      <c r="U76" s="194"/>
      <c r="V76" s="194"/>
      <c r="W76" s="194"/>
      <c r="X76" s="194"/>
    </row>
    <row r="77" spans="2:24" s="18" customFormat="1" ht="15.5" x14ac:dyDescent="0.35">
      <c r="B77" s="280" t="s">
        <v>283</v>
      </c>
      <c r="C77" s="281">
        <v>2018</v>
      </c>
      <c r="D77" s="99" t="s">
        <v>284</v>
      </c>
      <c r="E77" s="72" t="s">
        <v>115</v>
      </c>
      <c r="F77" s="99" t="s">
        <v>107</v>
      </c>
      <c r="G77" s="99">
        <v>50</v>
      </c>
      <c r="H77" s="68">
        <v>4.8448199999999997E-2</v>
      </c>
      <c r="I77" s="68">
        <v>0.11178399999999999</v>
      </c>
      <c r="J77" s="69">
        <v>0.30619099999999999</v>
      </c>
      <c r="K77" s="194"/>
      <c r="L77" s="194"/>
      <c r="M77" s="194"/>
      <c r="N77" s="222"/>
      <c r="O77" s="194"/>
      <c r="P77" s="194"/>
      <c r="Q77" s="194"/>
      <c r="R77" s="194"/>
      <c r="S77" s="194"/>
      <c r="T77" s="194"/>
      <c r="U77" s="194"/>
      <c r="V77" s="194"/>
      <c r="W77" s="194"/>
      <c r="X77" s="194"/>
    </row>
    <row r="78" spans="2:24" s="18" customFormat="1" ht="15.5" x14ac:dyDescent="0.35">
      <c r="B78" s="280" t="s">
        <v>283</v>
      </c>
      <c r="C78" s="281">
        <v>2018</v>
      </c>
      <c r="D78" s="99" t="s">
        <v>284</v>
      </c>
      <c r="E78" s="72" t="s">
        <v>115</v>
      </c>
      <c r="F78" s="99" t="s">
        <v>107</v>
      </c>
      <c r="G78" s="99">
        <v>55</v>
      </c>
      <c r="H78" s="68">
        <v>4.6026499999999998E-2</v>
      </c>
      <c r="I78" s="68">
        <v>0.100864</v>
      </c>
      <c r="J78" s="69">
        <v>0.29178500000000002</v>
      </c>
      <c r="K78" s="194"/>
      <c r="L78" s="194"/>
      <c r="M78" s="194"/>
      <c r="N78" s="222"/>
      <c r="O78" s="194"/>
      <c r="P78" s="194"/>
      <c r="Q78" s="194"/>
      <c r="R78" s="194"/>
      <c r="S78" s="194"/>
      <c r="T78" s="194"/>
      <c r="U78" s="194"/>
      <c r="V78" s="194"/>
      <c r="W78" s="194"/>
      <c r="X78" s="194"/>
    </row>
    <row r="79" spans="2:24" s="18" customFormat="1" ht="15.5" x14ac:dyDescent="0.35">
      <c r="B79" s="280" t="s">
        <v>283</v>
      </c>
      <c r="C79" s="281">
        <v>2018</v>
      </c>
      <c r="D79" s="99" t="s">
        <v>284</v>
      </c>
      <c r="E79" s="72" t="s">
        <v>115</v>
      </c>
      <c r="F79" s="99" t="s">
        <v>107</v>
      </c>
      <c r="G79" s="99">
        <v>60</v>
      </c>
      <c r="H79" s="68">
        <v>4.44646E-2</v>
      </c>
      <c r="I79" s="68">
        <v>9.2450599999999994E-2</v>
      </c>
      <c r="J79" s="69">
        <v>0.27828000000000003</v>
      </c>
      <c r="K79" s="194"/>
      <c r="L79" s="194"/>
      <c r="M79" s="194"/>
      <c r="N79" s="222"/>
      <c r="O79" s="194"/>
      <c r="P79" s="194"/>
      <c r="Q79" s="194"/>
      <c r="R79" s="194"/>
      <c r="S79" s="194"/>
      <c r="T79" s="194"/>
      <c r="U79" s="194"/>
      <c r="V79" s="194"/>
      <c r="W79" s="194"/>
      <c r="X79" s="194"/>
    </row>
    <row r="80" spans="2:24" s="18" customFormat="1" ht="15.5" x14ac:dyDescent="0.35">
      <c r="B80" s="280" t="s">
        <v>283</v>
      </c>
      <c r="C80" s="281">
        <v>2018</v>
      </c>
      <c r="D80" s="99" t="s">
        <v>284</v>
      </c>
      <c r="E80" s="72" t="s">
        <v>115</v>
      </c>
      <c r="F80" s="99" t="s">
        <v>107</v>
      </c>
      <c r="G80" s="99">
        <v>65</v>
      </c>
      <c r="H80" s="68">
        <v>4.4144999999999997E-2</v>
      </c>
      <c r="I80" s="68">
        <v>8.7745699999999996E-2</v>
      </c>
      <c r="J80" s="69">
        <v>0.26754600000000001</v>
      </c>
      <c r="K80" s="194"/>
      <c r="L80" s="194"/>
      <c r="M80" s="194"/>
      <c r="N80" s="222"/>
      <c r="O80" s="194"/>
      <c r="P80" s="194"/>
      <c r="Q80" s="194"/>
      <c r="R80" s="194"/>
      <c r="S80" s="194"/>
      <c r="T80" s="194"/>
      <c r="U80" s="194"/>
      <c r="V80" s="194"/>
      <c r="W80" s="194"/>
      <c r="X80" s="194"/>
    </row>
    <row r="81" spans="1:46" s="18" customFormat="1" ht="15.5" x14ac:dyDescent="0.35">
      <c r="B81" s="280" t="s">
        <v>283</v>
      </c>
      <c r="C81" s="281">
        <v>2018</v>
      </c>
      <c r="D81" s="99" t="s">
        <v>284</v>
      </c>
      <c r="E81" s="72" t="s">
        <v>115</v>
      </c>
      <c r="F81" s="99" t="s">
        <v>107</v>
      </c>
      <c r="G81" s="99">
        <v>70</v>
      </c>
      <c r="H81" s="68">
        <v>4.6412299999999997E-2</v>
      </c>
      <c r="I81" s="68">
        <v>8.6210800000000004E-2</v>
      </c>
      <c r="J81" s="69">
        <v>0.25834600000000002</v>
      </c>
      <c r="K81" s="194"/>
      <c r="L81" s="194"/>
      <c r="M81" s="194"/>
      <c r="N81" s="222"/>
      <c r="O81" s="194"/>
      <c r="P81" s="194"/>
      <c r="Q81" s="194"/>
      <c r="R81" s="194"/>
      <c r="S81" s="194"/>
      <c r="T81" s="194"/>
      <c r="U81" s="194"/>
      <c r="V81" s="194"/>
      <c r="W81" s="194"/>
      <c r="X81" s="194"/>
    </row>
    <row r="82" spans="1:46" s="18" customFormat="1" ht="15.5" x14ac:dyDescent="0.35">
      <c r="B82" s="282" t="s">
        <v>283</v>
      </c>
      <c r="C82" s="283">
        <v>2018</v>
      </c>
      <c r="D82" s="51" t="s">
        <v>284</v>
      </c>
      <c r="E82" s="73" t="s">
        <v>115</v>
      </c>
      <c r="F82" s="51" t="s">
        <v>107</v>
      </c>
      <c r="G82" s="51">
        <v>75</v>
      </c>
      <c r="H82" s="70">
        <v>5.1112600000000001E-2</v>
      </c>
      <c r="I82" s="70">
        <v>8.7062899999999999E-2</v>
      </c>
      <c r="J82" s="71">
        <v>0.25483299999999998</v>
      </c>
      <c r="K82" s="194"/>
      <c r="L82" s="194"/>
      <c r="M82" s="194"/>
      <c r="N82" s="222"/>
      <c r="O82" s="194"/>
      <c r="P82" s="194"/>
      <c r="Q82" s="194"/>
      <c r="R82" s="194"/>
      <c r="S82" s="194"/>
      <c r="T82" s="194"/>
      <c r="U82" s="194"/>
      <c r="V82" s="194"/>
      <c r="W82" s="194"/>
      <c r="X82" s="194"/>
    </row>
    <row r="83" spans="1:46" s="18" customFormat="1" ht="15.5" x14ac:dyDescent="0.35">
      <c r="B83" s="273"/>
      <c r="C83" s="273"/>
      <c r="D83" s="273"/>
      <c r="K83" s="194"/>
      <c r="L83" s="194"/>
      <c r="M83" s="194"/>
      <c r="N83" s="222"/>
      <c r="O83" s="194"/>
      <c r="P83" s="194"/>
      <c r="Q83" s="194"/>
      <c r="R83" s="194"/>
      <c r="S83" s="194"/>
      <c r="T83" s="194"/>
      <c r="U83" s="194"/>
      <c r="V83" s="194"/>
      <c r="W83" s="194"/>
      <c r="X83" s="194"/>
    </row>
    <row r="84" spans="1:46" ht="15.5" x14ac:dyDescent="0.35">
      <c r="J84" s="194"/>
      <c r="K84" s="194"/>
      <c r="L84" s="194"/>
      <c r="M84" s="194"/>
      <c r="N84" s="222"/>
      <c r="O84" s="194"/>
      <c r="P84" s="194"/>
      <c r="Q84" s="194"/>
      <c r="R84" s="194"/>
      <c r="S84" s="194"/>
      <c r="T84" s="194"/>
      <c r="U84" s="194"/>
      <c r="V84" s="194"/>
      <c r="W84" s="194"/>
      <c r="X84" s="194"/>
      <c r="Z84" s="18"/>
      <c r="AA84" s="18"/>
      <c r="AB84" s="18"/>
      <c r="AC84" s="18"/>
      <c r="AD84" s="18"/>
      <c r="AE84" s="18"/>
      <c r="AF84" s="18"/>
      <c r="AG84" s="18"/>
      <c r="AH84" s="18"/>
      <c r="AI84" s="18"/>
      <c r="AJ84" s="18"/>
      <c r="AK84" s="18"/>
      <c r="AL84" s="18"/>
      <c r="AM84" s="18"/>
      <c r="AN84" s="18"/>
      <c r="AO84" s="18"/>
      <c r="AP84" s="18"/>
      <c r="AQ84" s="18"/>
      <c r="AR84" s="18"/>
      <c r="AS84" s="18"/>
      <c r="AT84" s="18"/>
    </row>
    <row r="85" spans="1:46" x14ac:dyDescent="0.35">
      <c r="Z85" s="18"/>
      <c r="AA85" s="18"/>
      <c r="AB85" s="18"/>
      <c r="AC85" s="18"/>
      <c r="AD85" s="18"/>
      <c r="AE85" s="18"/>
      <c r="AF85" s="18"/>
      <c r="AG85" s="18"/>
      <c r="AH85" s="18"/>
      <c r="AI85" s="18"/>
      <c r="AJ85" s="18"/>
      <c r="AK85" s="18"/>
      <c r="AL85" s="18"/>
      <c r="AM85" s="18"/>
      <c r="AN85" s="18"/>
      <c r="AO85" s="18"/>
      <c r="AP85" s="18"/>
      <c r="AQ85" s="18"/>
      <c r="AR85" s="18"/>
      <c r="AS85" s="18"/>
      <c r="AT85" s="18"/>
    </row>
    <row r="86" spans="1:46" ht="18.5" x14ac:dyDescent="0.45">
      <c r="A86" s="262" t="s">
        <v>297</v>
      </c>
      <c r="B86" s="271"/>
      <c r="C86" s="271"/>
      <c r="D86" s="271"/>
      <c r="E86" s="194"/>
      <c r="F86" s="194"/>
      <c r="G86" s="194"/>
      <c r="H86" s="194"/>
      <c r="I86" s="194"/>
      <c r="J86" s="194"/>
      <c r="K86" s="194"/>
      <c r="L86" s="194"/>
      <c r="M86" s="262" t="s">
        <v>298</v>
      </c>
      <c r="N86" s="222"/>
      <c r="O86" s="17"/>
      <c r="P86" s="17"/>
      <c r="Q86" s="194"/>
      <c r="R86" s="194"/>
      <c r="S86" s="194"/>
      <c r="T86" s="194"/>
      <c r="U86" s="194"/>
      <c r="V86" s="194"/>
      <c r="W86" s="194"/>
      <c r="Z86" s="18"/>
      <c r="AA86" s="18"/>
      <c r="AB86" s="18"/>
      <c r="AC86" s="18"/>
      <c r="AD86" s="18"/>
      <c r="AE86" s="18"/>
      <c r="AF86" s="18"/>
      <c r="AG86" s="18"/>
      <c r="AH86" s="18"/>
      <c r="AI86" s="18"/>
      <c r="AJ86" s="18"/>
      <c r="AK86" s="18"/>
      <c r="AL86" s="18"/>
      <c r="AM86" s="18"/>
      <c r="AN86" s="18"/>
      <c r="AO86" s="18"/>
      <c r="AP86" s="18"/>
      <c r="AQ86" s="18"/>
      <c r="AR86" s="18"/>
      <c r="AS86" s="18"/>
      <c r="AT86" s="18"/>
    </row>
    <row r="87" spans="1:46" ht="26.5" x14ac:dyDescent="0.35">
      <c r="B87" s="276" t="s">
        <v>278</v>
      </c>
      <c r="C87" s="277" t="s">
        <v>279</v>
      </c>
      <c r="D87" s="272" t="s">
        <v>280</v>
      </c>
      <c r="E87" s="452" t="s">
        <v>281</v>
      </c>
      <c r="F87" s="453" t="s">
        <v>151</v>
      </c>
      <c r="G87" s="453" t="s">
        <v>282</v>
      </c>
      <c r="H87" s="454" t="s">
        <v>105</v>
      </c>
      <c r="I87" s="454" t="s">
        <v>242</v>
      </c>
      <c r="J87" s="455" t="s">
        <v>136</v>
      </c>
      <c r="L87" s="1"/>
      <c r="M87" s="201" t="s">
        <v>278</v>
      </c>
      <c r="N87" s="223" t="s">
        <v>279</v>
      </c>
      <c r="O87" s="223" t="s">
        <v>151</v>
      </c>
      <c r="P87" s="223" t="s">
        <v>281</v>
      </c>
      <c r="Q87" s="220" t="s">
        <v>105</v>
      </c>
      <c r="R87" s="220" t="s">
        <v>242</v>
      </c>
      <c r="S87" s="221" t="s">
        <v>136</v>
      </c>
      <c r="Z87" s="18"/>
      <c r="AA87" s="18"/>
      <c r="AB87" s="18"/>
      <c r="AC87" s="18"/>
      <c r="AD87" s="18"/>
      <c r="AE87" s="18"/>
      <c r="AF87" s="18"/>
      <c r="AG87" s="18"/>
      <c r="AH87" s="18"/>
      <c r="AI87" s="18"/>
      <c r="AJ87" s="18"/>
      <c r="AK87" s="18"/>
      <c r="AL87" s="18"/>
      <c r="AM87" s="18"/>
      <c r="AN87" s="18"/>
      <c r="AO87" s="18"/>
      <c r="AP87" s="18"/>
      <c r="AQ87" s="18"/>
      <c r="AR87" s="18"/>
      <c r="AS87" s="18"/>
      <c r="AT87" s="18"/>
    </row>
    <row r="88" spans="1:46" x14ac:dyDescent="0.35">
      <c r="B88" s="448" t="s">
        <v>283</v>
      </c>
      <c r="C88" s="456">
        <v>2030</v>
      </c>
      <c r="D88" s="457" t="s">
        <v>284</v>
      </c>
      <c r="E88" s="78" t="s">
        <v>106</v>
      </c>
      <c r="F88" s="457" t="s">
        <v>107</v>
      </c>
      <c r="G88" s="457">
        <v>2.5</v>
      </c>
      <c r="H88" s="457">
        <v>1470.34</v>
      </c>
      <c r="I88" s="457">
        <v>2468.5100000000002</v>
      </c>
      <c r="J88" s="458">
        <v>6170.05</v>
      </c>
      <c r="L88" s="1"/>
      <c r="M88" s="77" t="s">
        <v>283</v>
      </c>
      <c r="N88" s="224">
        <v>2030</v>
      </c>
      <c r="O88" s="47" t="s">
        <v>204</v>
      </c>
      <c r="P88" s="78" t="s">
        <v>106</v>
      </c>
      <c r="Q88" s="68">
        <v>2527.63</v>
      </c>
      <c r="R88" s="68">
        <v>4320.74</v>
      </c>
      <c r="S88" s="69">
        <v>7338.65</v>
      </c>
      <c r="Z88" s="18"/>
      <c r="AA88" s="18"/>
      <c r="AB88" s="18"/>
      <c r="AC88" s="18"/>
      <c r="AD88" s="18"/>
      <c r="AE88" s="18"/>
      <c r="AF88" s="18"/>
      <c r="AG88" s="18"/>
      <c r="AH88" s="18"/>
      <c r="AI88" s="18"/>
      <c r="AJ88" s="18"/>
      <c r="AK88" s="18"/>
      <c r="AL88" s="18"/>
      <c r="AM88" s="18"/>
      <c r="AN88" s="18"/>
      <c r="AO88" s="18"/>
      <c r="AP88" s="18"/>
      <c r="AQ88" s="18"/>
      <c r="AR88" s="18"/>
      <c r="AS88" s="18"/>
      <c r="AT88" s="18"/>
    </row>
    <row r="89" spans="1:46" s="18" customFormat="1" x14ac:dyDescent="0.35">
      <c r="A89" s="1"/>
      <c r="B89" s="449" t="s">
        <v>283</v>
      </c>
      <c r="C89" s="459">
        <v>2030</v>
      </c>
      <c r="D89" t="s">
        <v>284</v>
      </c>
      <c r="E89" s="78" t="s">
        <v>106</v>
      </c>
      <c r="F89" t="s">
        <v>107</v>
      </c>
      <c r="G89">
        <v>5</v>
      </c>
      <c r="H89">
        <v>830.32100000000003</v>
      </c>
      <c r="I89">
        <v>1424.57</v>
      </c>
      <c r="J89" s="460">
        <v>3668.45</v>
      </c>
      <c r="K89" s="1"/>
      <c r="L89" s="1"/>
      <c r="M89" s="48" t="s">
        <v>283</v>
      </c>
      <c r="N89" s="224">
        <v>2030</v>
      </c>
      <c r="O89" s="45" t="s">
        <v>204</v>
      </c>
      <c r="P89" s="72" t="s">
        <v>109</v>
      </c>
      <c r="Q89" s="68">
        <v>2.7048199999999998</v>
      </c>
      <c r="R89" s="68">
        <v>9.9148499999999995</v>
      </c>
      <c r="S89" s="69">
        <v>19.098800000000001</v>
      </c>
      <c r="T89" s="1"/>
      <c r="U89" s="1"/>
      <c r="V89" s="1"/>
      <c r="W89" s="1"/>
      <c r="X89" s="1"/>
      <c r="Y89" s="1"/>
    </row>
    <row r="90" spans="1:46" s="18" customFormat="1" x14ac:dyDescent="0.35">
      <c r="A90" s="1"/>
      <c r="B90" s="449" t="s">
        <v>283</v>
      </c>
      <c r="C90" s="459">
        <v>2030</v>
      </c>
      <c r="D90" t="s">
        <v>284</v>
      </c>
      <c r="E90" s="78" t="s">
        <v>106</v>
      </c>
      <c r="F90" t="s">
        <v>107</v>
      </c>
      <c r="G90">
        <v>10</v>
      </c>
      <c r="H90">
        <v>510.31299999999999</v>
      </c>
      <c r="I90">
        <v>905.61500000000001</v>
      </c>
      <c r="J90" s="460">
        <v>2440.39</v>
      </c>
      <c r="K90" s="1"/>
      <c r="L90" s="1"/>
      <c r="M90" s="48" t="s">
        <v>283</v>
      </c>
      <c r="N90" s="224">
        <v>2030</v>
      </c>
      <c r="O90" s="45" t="s">
        <v>204</v>
      </c>
      <c r="P90" s="72" t="s">
        <v>111</v>
      </c>
      <c r="Q90" s="68">
        <v>1.43207E-2</v>
      </c>
      <c r="R90" s="68">
        <v>4.9025199999999998E-2</v>
      </c>
      <c r="S90" s="69">
        <v>0.39631699999999997</v>
      </c>
      <c r="T90" s="1"/>
      <c r="U90" s="1"/>
      <c r="V90" s="1"/>
      <c r="W90" s="1"/>
      <c r="X90" s="1"/>
      <c r="Y90" s="1"/>
    </row>
    <row r="91" spans="1:46" s="18" customFormat="1" x14ac:dyDescent="0.35">
      <c r="A91" s="1"/>
      <c r="B91" s="449" t="s">
        <v>283</v>
      </c>
      <c r="C91" s="459">
        <v>2030</v>
      </c>
      <c r="D91" t="s">
        <v>284</v>
      </c>
      <c r="E91" s="78" t="s">
        <v>106</v>
      </c>
      <c r="F91" t="s">
        <v>107</v>
      </c>
      <c r="G91">
        <v>20</v>
      </c>
      <c r="H91">
        <v>348.42500000000001</v>
      </c>
      <c r="I91">
        <v>641.01800000000003</v>
      </c>
      <c r="J91" s="460">
        <v>1978.99</v>
      </c>
      <c r="K91" s="1"/>
      <c r="L91" s="1"/>
      <c r="M91" s="48" t="s">
        <v>283</v>
      </c>
      <c r="N91" s="224">
        <v>2030</v>
      </c>
      <c r="O91" s="45" t="s">
        <v>204</v>
      </c>
      <c r="P91" s="72" t="s">
        <v>285</v>
      </c>
      <c r="Q91" s="68">
        <v>0.14817900000000001</v>
      </c>
      <c r="R91" s="68">
        <v>7.7128399999999999</v>
      </c>
      <c r="S91" s="69">
        <v>47.936</v>
      </c>
      <c r="T91" s="1"/>
      <c r="U91" s="1"/>
      <c r="V91" s="1"/>
      <c r="W91" s="1"/>
      <c r="X91" s="1"/>
      <c r="Y91" s="1"/>
    </row>
    <row r="92" spans="1:46" s="18" customFormat="1" x14ac:dyDescent="0.35">
      <c r="A92" s="1"/>
      <c r="B92" s="449" t="s">
        <v>283</v>
      </c>
      <c r="C92" s="459">
        <v>2030</v>
      </c>
      <c r="D92" t="s">
        <v>284</v>
      </c>
      <c r="E92" s="78" t="s">
        <v>106</v>
      </c>
      <c r="F92" t="s">
        <v>107</v>
      </c>
      <c r="G92">
        <v>25</v>
      </c>
      <c r="H92">
        <v>403.64299999999997</v>
      </c>
      <c r="I92">
        <v>736.01099999999997</v>
      </c>
      <c r="J92" s="460">
        <v>2180.7800000000002</v>
      </c>
      <c r="K92" s="1"/>
      <c r="L92" s="1"/>
      <c r="M92" s="49" t="s">
        <v>283</v>
      </c>
      <c r="N92" s="224">
        <v>2030</v>
      </c>
      <c r="O92" s="50" t="s">
        <v>204</v>
      </c>
      <c r="P92" s="73" t="s">
        <v>115</v>
      </c>
      <c r="Q92" s="70">
        <v>6.3893900000000003E-2</v>
      </c>
      <c r="R92" s="70">
        <v>0.45275199999999999</v>
      </c>
      <c r="S92" s="71">
        <v>1.6525799999999999</v>
      </c>
      <c r="T92" s="1"/>
      <c r="U92" s="1"/>
      <c r="V92" s="1"/>
      <c r="W92" s="1"/>
      <c r="X92" s="1"/>
      <c r="Y92" s="1"/>
    </row>
    <row r="93" spans="1:46" s="18" customFormat="1" x14ac:dyDescent="0.35">
      <c r="A93" s="1"/>
      <c r="B93" s="449" t="s">
        <v>283</v>
      </c>
      <c r="C93" s="459">
        <v>2030</v>
      </c>
      <c r="D93" t="s">
        <v>284</v>
      </c>
      <c r="E93" s="78" t="s">
        <v>106</v>
      </c>
      <c r="F93" t="s">
        <v>107</v>
      </c>
      <c r="G93">
        <v>25</v>
      </c>
      <c r="H93">
        <v>311.50299999999999</v>
      </c>
      <c r="I93">
        <v>570.25099999999998</v>
      </c>
      <c r="J93" s="460">
        <v>1828</v>
      </c>
      <c r="K93" s="1"/>
      <c r="L93" s="1"/>
      <c r="M93" s="1"/>
      <c r="N93" s="2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46" s="18" customFormat="1" x14ac:dyDescent="0.35">
      <c r="A94" s="1"/>
      <c r="B94" s="449" t="s">
        <v>283</v>
      </c>
      <c r="C94" s="459">
        <v>2030</v>
      </c>
      <c r="D94" t="s">
        <v>284</v>
      </c>
      <c r="E94" s="78" t="s">
        <v>106</v>
      </c>
      <c r="F94" t="s">
        <v>107</v>
      </c>
      <c r="G94">
        <v>30</v>
      </c>
      <c r="H94">
        <v>278.48500000000001</v>
      </c>
      <c r="I94">
        <v>532.08299999999997</v>
      </c>
      <c r="J94" s="460">
        <v>1781.89</v>
      </c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</row>
    <row r="95" spans="1:46" s="18" customFormat="1" x14ac:dyDescent="0.35">
      <c r="A95" s="1"/>
      <c r="B95" s="449" t="s">
        <v>283</v>
      </c>
      <c r="C95" s="459">
        <v>2030</v>
      </c>
      <c r="D95" t="s">
        <v>284</v>
      </c>
      <c r="E95" s="78" t="s">
        <v>106</v>
      </c>
      <c r="F95" t="s">
        <v>107</v>
      </c>
      <c r="G95">
        <v>35</v>
      </c>
      <c r="H95">
        <v>263.82799999999997</v>
      </c>
      <c r="I95">
        <v>481.983</v>
      </c>
      <c r="J95" s="460">
        <v>1543.59</v>
      </c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</row>
    <row r="96" spans="1:46" s="18" customFormat="1" ht="15" customHeight="1" x14ac:dyDescent="0.35">
      <c r="A96" s="1"/>
      <c r="B96" s="449" t="s">
        <v>283</v>
      </c>
      <c r="C96" s="459">
        <v>2030</v>
      </c>
      <c r="D96" t="s">
        <v>284</v>
      </c>
      <c r="E96" s="78" t="s">
        <v>106</v>
      </c>
      <c r="F96" t="s">
        <v>107</v>
      </c>
      <c r="G96">
        <v>40</v>
      </c>
      <c r="H96">
        <v>254.97900000000001</v>
      </c>
      <c r="I96">
        <v>466.08199999999999</v>
      </c>
      <c r="J96" s="460">
        <v>1511.61</v>
      </c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</row>
    <row r="97" spans="1:34" s="18" customFormat="1" x14ac:dyDescent="0.35">
      <c r="A97" s="1"/>
      <c r="B97" s="449" t="s">
        <v>283</v>
      </c>
      <c r="C97" s="459">
        <v>2030</v>
      </c>
      <c r="D97" t="s">
        <v>284</v>
      </c>
      <c r="E97" s="78" t="s">
        <v>106</v>
      </c>
      <c r="F97" t="s">
        <v>107</v>
      </c>
      <c r="G97">
        <v>45</v>
      </c>
      <c r="H97">
        <v>248.37299999999999</v>
      </c>
      <c r="I97">
        <v>453.83600000000001</v>
      </c>
      <c r="J97" s="460">
        <v>1486.73</v>
      </c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</row>
    <row r="98" spans="1:34" s="18" customFormat="1" x14ac:dyDescent="0.35">
      <c r="A98" s="1"/>
      <c r="B98" s="449" t="s">
        <v>283</v>
      </c>
      <c r="C98" s="459">
        <v>2030</v>
      </c>
      <c r="D98" t="s">
        <v>284</v>
      </c>
      <c r="E98" s="78" t="s">
        <v>106</v>
      </c>
      <c r="F98" t="s">
        <v>107</v>
      </c>
      <c r="G98">
        <v>50</v>
      </c>
      <c r="H98">
        <v>243.559</v>
      </c>
      <c r="I98">
        <v>446.00400000000002</v>
      </c>
      <c r="J98" s="460">
        <v>1416.87</v>
      </c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</row>
    <row r="99" spans="1:34" s="18" customFormat="1" x14ac:dyDescent="0.35">
      <c r="A99" s="1"/>
      <c r="B99" s="449" t="s">
        <v>283</v>
      </c>
      <c r="C99" s="459">
        <v>2030</v>
      </c>
      <c r="D99" t="s">
        <v>284</v>
      </c>
      <c r="E99" s="78" t="s">
        <v>106</v>
      </c>
      <c r="F99" t="s">
        <v>107</v>
      </c>
      <c r="G99">
        <v>55</v>
      </c>
      <c r="H99">
        <v>241.26300000000001</v>
      </c>
      <c r="I99">
        <v>441.34899999999999</v>
      </c>
      <c r="J99" s="460">
        <v>1341.18</v>
      </c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</row>
    <row r="100" spans="1:34" s="18" customFormat="1" x14ac:dyDescent="0.35">
      <c r="A100" s="1"/>
      <c r="B100" s="449" t="s">
        <v>283</v>
      </c>
      <c r="C100" s="459">
        <v>2030</v>
      </c>
      <c r="D100" t="s">
        <v>284</v>
      </c>
      <c r="E100" s="78" t="s">
        <v>106</v>
      </c>
      <c r="F100" t="s">
        <v>107</v>
      </c>
      <c r="G100">
        <v>60</v>
      </c>
      <c r="H100">
        <v>241.30699999999999</v>
      </c>
      <c r="I100">
        <v>431.94900000000001</v>
      </c>
      <c r="J100" s="460">
        <v>1355.16</v>
      </c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</row>
    <row r="101" spans="1:34" s="18" customFormat="1" x14ac:dyDescent="0.35">
      <c r="A101" s="1"/>
      <c r="B101" s="449" t="s">
        <v>283</v>
      </c>
      <c r="C101" s="459">
        <v>2030</v>
      </c>
      <c r="D101" t="s">
        <v>284</v>
      </c>
      <c r="E101" s="78" t="s">
        <v>106</v>
      </c>
      <c r="F101" t="s">
        <v>107</v>
      </c>
      <c r="G101">
        <v>65</v>
      </c>
      <c r="H101">
        <v>243.90700000000001</v>
      </c>
      <c r="I101">
        <v>441.28699999999998</v>
      </c>
      <c r="J101" s="460">
        <v>1421.32</v>
      </c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</row>
    <row r="102" spans="1:34" s="18" customFormat="1" x14ac:dyDescent="0.35">
      <c r="A102" s="1"/>
      <c r="B102" s="449" t="s">
        <v>283</v>
      </c>
      <c r="C102" s="459">
        <v>2030</v>
      </c>
      <c r="D102" t="s">
        <v>284</v>
      </c>
      <c r="E102" s="78" t="s">
        <v>106</v>
      </c>
      <c r="F102" t="s">
        <v>107</v>
      </c>
      <c r="G102">
        <v>70</v>
      </c>
      <c r="H102">
        <v>252.63499999999999</v>
      </c>
      <c r="I102">
        <v>455.505</v>
      </c>
      <c r="J102" s="460">
        <v>1478.03</v>
      </c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</row>
    <row r="103" spans="1:34" s="18" customFormat="1" x14ac:dyDescent="0.35">
      <c r="A103" s="1"/>
      <c r="B103" s="450" t="s">
        <v>283</v>
      </c>
      <c r="C103" s="461">
        <v>2030</v>
      </c>
      <c r="D103" s="462" t="s">
        <v>284</v>
      </c>
      <c r="E103" s="78" t="s">
        <v>106</v>
      </c>
      <c r="F103" s="462" t="s">
        <v>107</v>
      </c>
      <c r="G103" s="462">
        <v>75</v>
      </c>
      <c r="H103" s="462">
        <v>267.06700000000001</v>
      </c>
      <c r="I103" s="462">
        <v>475.4</v>
      </c>
      <c r="J103" s="463">
        <v>1541.65</v>
      </c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</row>
    <row r="104" spans="1:34" s="18" customFormat="1" x14ac:dyDescent="0.35">
      <c r="A104" s="1"/>
      <c r="B104" s="448" t="s">
        <v>283</v>
      </c>
      <c r="C104" s="456">
        <v>2030</v>
      </c>
      <c r="D104" s="457" t="s">
        <v>295</v>
      </c>
      <c r="E104" s="457" t="s">
        <v>109</v>
      </c>
      <c r="F104" s="457" t="s">
        <v>107</v>
      </c>
      <c r="G104" s="457">
        <v>2.5</v>
      </c>
      <c r="H104" s="457">
        <v>4.3736699999999997</v>
      </c>
      <c r="I104" s="457">
        <v>6.2102000000000004</v>
      </c>
      <c r="J104" s="458">
        <v>16.004799999999999</v>
      </c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</row>
    <row r="105" spans="1:34" s="18" customFormat="1" x14ac:dyDescent="0.35">
      <c r="A105" s="1"/>
      <c r="B105" s="449" t="s">
        <v>283</v>
      </c>
      <c r="C105" s="459">
        <v>2030</v>
      </c>
      <c r="D105" t="s">
        <v>295</v>
      </c>
      <c r="E105" t="s">
        <v>109</v>
      </c>
      <c r="F105" t="s">
        <v>107</v>
      </c>
      <c r="G105">
        <v>5</v>
      </c>
      <c r="H105">
        <v>2.9823900000000001</v>
      </c>
      <c r="I105">
        <v>4.0271299999999997</v>
      </c>
      <c r="J105" s="460">
        <v>10.0661</v>
      </c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</row>
    <row r="106" spans="1:34" s="18" customFormat="1" x14ac:dyDescent="0.35">
      <c r="A106" s="1"/>
      <c r="B106" s="449" t="s">
        <v>283</v>
      </c>
      <c r="C106" s="459">
        <v>2030</v>
      </c>
      <c r="D106" t="s">
        <v>295</v>
      </c>
      <c r="E106" t="s">
        <v>109</v>
      </c>
      <c r="F106" t="s">
        <v>107</v>
      </c>
      <c r="G106">
        <v>10</v>
      </c>
      <c r="H106">
        <v>2.2867600000000001</v>
      </c>
      <c r="I106">
        <v>2.8961999999999999</v>
      </c>
      <c r="J106" s="460">
        <v>6.7267799999999998</v>
      </c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</row>
    <row r="107" spans="1:34" s="18" customFormat="1" x14ac:dyDescent="0.35">
      <c r="A107" s="1"/>
      <c r="B107" s="449" t="s">
        <v>283</v>
      </c>
      <c r="C107" s="459">
        <v>2030</v>
      </c>
      <c r="D107" t="s">
        <v>295</v>
      </c>
      <c r="E107" t="s">
        <v>109</v>
      </c>
      <c r="F107" t="s">
        <v>107</v>
      </c>
      <c r="G107">
        <v>20</v>
      </c>
      <c r="H107">
        <v>1.8379099999999999</v>
      </c>
      <c r="I107">
        <v>2.1599300000000001</v>
      </c>
      <c r="J107" s="460">
        <v>4.2157799999999996</v>
      </c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</row>
    <row r="108" spans="1:34" s="18" customFormat="1" x14ac:dyDescent="0.35">
      <c r="A108" s="1"/>
      <c r="B108" s="449" t="s">
        <v>283</v>
      </c>
      <c r="C108" s="459">
        <v>2030</v>
      </c>
      <c r="D108" t="s">
        <v>295</v>
      </c>
      <c r="E108" t="s">
        <v>109</v>
      </c>
      <c r="F108" t="s">
        <v>107</v>
      </c>
      <c r="G108">
        <v>25</v>
      </c>
      <c r="H108">
        <v>2.0548799999999998</v>
      </c>
      <c r="I108">
        <v>2.4780500000000001</v>
      </c>
      <c r="J108" s="460">
        <v>5.4084599999999998</v>
      </c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</row>
    <row r="109" spans="1:34" s="18" customFormat="1" x14ac:dyDescent="0.35">
      <c r="A109" s="1"/>
      <c r="B109" s="449" t="s">
        <v>283</v>
      </c>
      <c r="C109" s="459">
        <v>2030</v>
      </c>
      <c r="D109" t="s">
        <v>295</v>
      </c>
      <c r="E109" t="s">
        <v>109</v>
      </c>
      <c r="F109" t="s">
        <v>107</v>
      </c>
      <c r="G109">
        <v>25</v>
      </c>
      <c r="H109">
        <v>1.50437</v>
      </c>
      <c r="I109">
        <v>1.80507</v>
      </c>
      <c r="J109" s="460">
        <v>3.6405699999999999</v>
      </c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</row>
    <row r="110" spans="1:34" s="18" customFormat="1" x14ac:dyDescent="0.35">
      <c r="A110" s="1"/>
      <c r="B110" s="449" t="s">
        <v>283</v>
      </c>
      <c r="C110" s="459">
        <v>2030</v>
      </c>
      <c r="D110" t="s">
        <v>295</v>
      </c>
      <c r="E110" t="s">
        <v>109</v>
      </c>
      <c r="F110" t="s">
        <v>107</v>
      </c>
      <c r="G110">
        <v>30</v>
      </c>
      <c r="H110">
        <v>1.46347</v>
      </c>
      <c r="I110">
        <v>1.76271</v>
      </c>
      <c r="J110" s="460">
        <v>3.1916000000000002</v>
      </c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</row>
    <row r="111" spans="1:34" s="18" customFormat="1" x14ac:dyDescent="0.35">
      <c r="A111" s="1"/>
      <c r="B111" s="449" t="s">
        <v>283</v>
      </c>
      <c r="C111" s="459">
        <v>2030</v>
      </c>
      <c r="D111" t="s">
        <v>295</v>
      </c>
      <c r="E111" t="s">
        <v>109</v>
      </c>
      <c r="F111" t="s">
        <v>107</v>
      </c>
      <c r="G111">
        <v>35</v>
      </c>
      <c r="H111">
        <v>1.3408100000000001</v>
      </c>
      <c r="I111">
        <v>1.647</v>
      </c>
      <c r="J111" s="460">
        <v>2.5998199999999998</v>
      </c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</row>
    <row r="112" spans="1:34" s="18" customFormat="1" x14ac:dyDescent="0.35">
      <c r="A112" s="1"/>
      <c r="B112" s="449" t="s">
        <v>283</v>
      </c>
      <c r="C112" s="459">
        <v>2030</v>
      </c>
      <c r="D112" t="s">
        <v>295</v>
      </c>
      <c r="E112" t="s">
        <v>109</v>
      </c>
      <c r="F112" t="s">
        <v>107</v>
      </c>
      <c r="G112">
        <v>40</v>
      </c>
      <c r="H112">
        <v>1.22492</v>
      </c>
      <c r="I112">
        <v>1.5706100000000001</v>
      </c>
      <c r="J112" s="460">
        <v>2.3137599999999998</v>
      </c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</row>
    <row r="113" spans="1:33" s="18" customFormat="1" x14ac:dyDescent="0.35">
      <c r="A113" s="1"/>
      <c r="B113" s="449" t="s">
        <v>283</v>
      </c>
      <c r="C113" s="459">
        <v>2030</v>
      </c>
      <c r="D113" t="s">
        <v>295</v>
      </c>
      <c r="E113" t="s">
        <v>109</v>
      </c>
      <c r="F113" t="s">
        <v>107</v>
      </c>
      <c r="G113">
        <v>45</v>
      </c>
      <c r="H113">
        <v>1.1590199999999999</v>
      </c>
      <c r="I113">
        <v>1.5246599999999999</v>
      </c>
      <c r="J113" s="460">
        <v>2.0912600000000001</v>
      </c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</row>
    <row r="114" spans="1:33" s="18" customFormat="1" x14ac:dyDescent="0.35">
      <c r="A114" s="1"/>
      <c r="B114" s="449" t="s">
        <v>283</v>
      </c>
      <c r="C114" s="459">
        <v>2030</v>
      </c>
      <c r="D114" t="s">
        <v>295</v>
      </c>
      <c r="E114" t="s">
        <v>109</v>
      </c>
      <c r="F114" t="s">
        <v>107</v>
      </c>
      <c r="G114">
        <v>50</v>
      </c>
      <c r="H114">
        <v>1.1474200000000001</v>
      </c>
      <c r="I114">
        <v>1.5131300000000001</v>
      </c>
      <c r="J114" s="460">
        <v>1.86873</v>
      </c>
      <c r="K114" s="1"/>
      <c r="L114" s="1"/>
      <c r="S114" s="1"/>
      <c r="T114" s="1"/>
      <c r="U114" s="1"/>
      <c r="V114" s="1"/>
      <c r="W114" s="1"/>
      <c r="X114" s="1"/>
      <c r="Y114" s="1"/>
    </row>
    <row r="115" spans="1:33" s="18" customFormat="1" x14ac:dyDescent="0.35">
      <c r="A115" s="1"/>
      <c r="B115" s="449" t="s">
        <v>283</v>
      </c>
      <c r="C115" s="459">
        <v>2030</v>
      </c>
      <c r="D115" t="s">
        <v>295</v>
      </c>
      <c r="E115" t="s">
        <v>109</v>
      </c>
      <c r="F115" t="s">
        <v>107</v>
      </c>
      <c r="G115">
        <v>55</v>
      </c>
      <c r="H115">
        <v>1.1683399999999999</v>
      </c>
      <c r="I115">
        <v>1.5299</v>
      </c>
      <c r="J115" s="460">
        <v>1.6762600000000001</v>
      </c>
      <c r="K115" s="1"/>
      <c r="L115" s="1"/>
      <c r="S115" s="1"/>
      <c r="T115" s="1"/>
      <c r="U115" s="1"/>
      <c r="V115" s="1"/>
      <c r="W115" s="1"/>
      <c r="X115" s="1"/>
      <c r="Y115" s="1"/>
    </row>
    <row r="116" spans="1:33" s="18" customFormat="1" x14ac:dyDescent="0.35">
      <c r="A116" s="1"/>
      <c r="B116" s="449" t="s">
        <v>283</v>
      </c>
      <c r="C116" s="459">
        <v>2030</v>
      </c>
      <c r="D116" t="s">
        <v>295</v>
      </c>
      <c r="E116" t="s">
        <v>109</v>
      </c>
      <c r="F116" t="s">
        <v>107</v>
      </c>
      <c r="G116">
        <v>60</v>
      </c>
      <c r="H116">
        <v>1.2220200000000001</v>
      </c>
      <c r="I116">
        <v>1.5758300000000001</v>
      </c>
      <c r="J116" s="460">
        <v>1.61531</v>
      </c>
      <c r="K116" s="1"/>
      <c r="L116" s="1"/>
      <c r="S116" s="1"/>
      <c r="T116" s="1"/>
      <c r="U116" s="1"/>
      <c r="V116" s="1"/>
      <c r="W116" s="1"/>
      <c r="X116" s="1"/>
      <c r="Y116" s="1"/>
    </row>
    <row r="117" spans="1:33" s="18" customFormat="1" x14ac:dyDescent="0.35">
      <c r="A117" s="1"/>
      <c r="B117" s="449" t="s">
        <v>283</v>
      </c>
      <c r="C117" s="459">
        <v>2030</v>
      </c>
      <c r="D117" t="s">
        <v>295</v>
      </c>
      <c r="E117" t="s">
        <v>109</v>
      </c>
      <c r="F117" t="s">
        <v>107</v>
      </c>
      <c r="G117">
        <v>65</v>
      </c>
      <c r="H117">
        <v>1.32159</v>
      </c>
      <c r="I117">
        <v>1.7555799999999999</v>
      </c>
      <c r="J117" s="460">
        <v>1.6208400000000001</v>
      </c>
      <c r="K117" s="1"/>
      <c r="L117" s="1"/>
      <c r="S117" s="1"/>
      <c r="T117" s="1"/>
      <c r="U117" s="1"/>
      <c r="V117" s="1"/>
      <c r="W117" s="1"/>
      <c r="X117" s="1"/>
      <c r="Y117" s="1"/>
    </row>
    <row r="118" spans="1:33" s="18" customFormat="1" x14ac:dyDescent="0.35">
      <c r="A118" s="1"/>
      <c r="B118" s="449" t="s">
        <v>283</v>
      </c>
      <c r="C118" s="459">
        <v>2030</v>
      </c>
      <c r="D118" t="s">
        <v>295</v>
      </c>
      <c r="E118" t="s">
        <v>109</v>
      </c>
      <c r="F118" t="s">
        <v>107</v>
      </c>
      <c r="G118">
        <v>70</v>
      </c>
      <c r="H118">
        <v>1.54427</v>
      </c>
      <c r="I118">
        <v>2.0085099999999998</v>
      </c>
      <c r="J118" s="460">
        <v>1.62558</v>
      </c>
      <c r="K118" s="1"/>
      <c r="L118" s="1"/>
      <c r="S118" s="1"/>
      <c r="T118" s="1"/>
      <c r="U118" s="1"/>
      <c r="V118" s="1"/>
      <c r="W118" s="1"/>
      <c r="X118" s="1"/>
      <c r="Y118" s="1"/>
    </row>
    <row r="119" spans="1:33" s="18" customFormat="1" x14ac:dyDescent="0.35">
      <c r="A119" s="1"/>
      <c r="B119" s="450" t="s">
        <v>283</v>
      </c>
      <c r="C119" s="461">
        <v>2030</v>
      </c>
      <c r="D119" s="462" t="s">
        <v>295</v>
      </c>
      <c r="E119" s="462" t="s">
        <v>109</v>
      </c>
      <c r="F119" s="462" t="s">
        <v>107</v>
      </c>
      <c r="G119" s="462">
        <v>75</v>
      </c>
      <c r="H119" s="462">
        <v>2.0756299999999999</v>
      </c>
      <c r="I119" s="462">
        <v>2.5038100000000001</v>
      </c>
      <c r="J119" s="463">
        <v>1.64554</v>
      </c>
      <c r="K119" s="1"/>
      <c r="L119" s="1"/>
      <c r="S119" s="1"/>
      <c r="T119" s="1"/>
      <c r="U119" s="1"/>
      <c r="V119" s="1"/>
      <c r="W119" s="1"/>
      <c r="X119" s="1"/>
      <c r="Y119" s="1"/>
    </row>
    <row r="120" spans="1:33" s="18" customFormat="1" x14ac:dyDescent="0.35">
      <c r="A120" s="1"/>
      <c r="B120" s="448" t="s">
        <v>283</v>
      </c>
      <c r="C120" s="456">
        <v>2030</v>
      </c>
      <c r="D120" s="457" t="s">
        <v>295</v>
      </c>
      <c r="E120" s="457" t="s">
        <v>111</v>
      </c>
      <c r="F120" s="457" t="s">
        <v>107</v>
      </c>
      <c r="G120" s="457">
        <v>2.5</v>
      </c>
      <c r="H120" s="457">
        <v>6.1356600000000002E-3</v>
      </c>
      <c r="I120" s="457">
        <v>2.2199900000000002E-2</v>
      </c>
      <c r="J120" s="458">
        <v>0.28381400000000001</v>
      </c>
      <c r="K120" s="1"/>
      <c r="L120" s="1"/>
      <c r="M120" s="1"/>
      <c r="N120" s="2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33" s="18" customFormat="1" x14ac:dyDescent="0.35">
      <c r="A121" s="1"/>
      <c r="B121" s="449" t="s">
        <v>283</v>
      </c>
      <c r="C121" s="459">
        <v>2030</v>
      </c>
      <c r="D121" t="s">
        <v>295</v>
      </c>
      <c r="E121" t="s">
        <v>111</v>
      </c>
      <c r="F121" t="s">
        <v>107</v>
      </c>
      <c r="G121">
        <v>5</v>
      </c>
      <c r="H121">
        <v>3.8604500000000001E-3</v>
      </c>
      <c r="I121">
        <v>1.37503E-2</v>
      </c>
      <c r="J121" s="460">
        <v>0.156921</v>
      </c>
      <c r="K121" s="1"/>
      <c r="L121" s="1"/>
      <c r="M121" s="1"/>
      <c r="N121" s="2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33" s="18" customFormat="1" x14ac:dyDescent="0.35">
      <c r="A122" s="1"/>
      <c r="B122" s="449" t="s">
        <v>283</v>
      </c>
      <c r="C122" s="459">
        <v>2030</v>
      </c>
      <c r="D122" t="s">
        <v>295</v>
      </c>
      <c r="E122" t="s">
        <v>111</v>
      </c>
      <c r="F122" t="s">
        <v>107</v>
      </c>
      <c r="G122">
        <v>10</v>
      </c>
      <c r="H122">
        <v>2.7228399999999998E-3</v>
      </c>
      <c r="I122">
        <v>9.4710200000000001E-3</v>
      </c>
      <c r="J122" s="460">
        <v>0.10241699999999999</v>
      </c>
      <c r="K122" s="1"/>
      <c r="L122" s="1"/>
      <c r="M122" s="1"/>
      <c r="N122" s="2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33" s="18" customFormat="1" x14ac:dyDescent="0.35">
      <c r="A123" s="1"/>
      <c r="B123" s="449" t="s">
        <v>283</v>
      </c>
      <c r="C123" s="459">
        <v>2030</v>
      </c>
      <c r="D123" t="s">
        <v>295</v>
      </c>
      <c r="E123" t="s">
        <v>111</v>
      </c>
      <c r="F123" t="s">
        <v>107</v>
      </c>
      <c r="G123">
        <v>20</v>
      </c>
      <c r="H123">
        <v>2.06543E-3</v>
      </c>
      <c r="I123">
        <v>6.6931500000000001E-3</v>
      </c>
      <c r="J123" s="460">
        <v>8.3878999999999995E-2</v>
      </c>
      <c r="K123" s="1"/>
      <c r="L123" s="1"/>
      <c r="M123" s="1"/>
      <c r="N123" s="2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33" s="18" customFormat="1" x14ac:dyDescent="0.35">
      <c r="A124" s="1"/>
      <c r="B124" s="449" t="s">
        <v>283</v>
      </c>
      <c r="C124" s="459">
        <v>2030</v>
      </c>
      <c r="D124" t="s">
        <v>295</v>
      </c>
      <c r="E124" t="s">
        <v>111</v>
      </c>
      <c r="F124" t="s">
        <v>107</v>
      </c>
      <c r="G124">
        <v>25</v>
      </c>
      <c r="H124">
        <v>2.3436400000000001E-3</v>
      </c>
      <c r="I124">
        <v>7.7023300000000003E-3</v>
      </c>
      <c r="J124" s="460">
        <v>9.3565499999999996E-2</v>
      </c>
      <c r="K124" s="1"/>
      <c r="L124" s="1"/>
      <c r="M124" s="1"/>
      <c r="N124" s="2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33" s="18" customFormat="1" x14ac:dyDescent="0.35">
      <c r="A125" s="1"/>
      <c r="B125" s="449" t="s">
        <v>283</v>
      </c>
      <c r="C125" s="459">
        <v>2030</v>
      </c>
      <c r="D125" t="s">
        <v>295</v>
      </c>
      <c r="E125" t="s">
        <v>111</v>
      </c>
      <c r="F125" t="s">
        <v>107</v>
      </c>
      <c r="G125">
        <v>25</v>
      </c>
      <c r="H125">
        <v>1.7201199999999999E-3</v>
      </c>
      <c r="I125">
        <v>5.76795E-3</v>
      </c>
      <c r="J125" s="460">
        <v>7.7886200000000003E-2</v>
      </c>
      <c r="K125" s="1"/>
      <c r="L125" s="1"/>
      <c r="M125" s="1"/>
      <c r="N125" s="2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33" s="18" customFormat="1" x14ac:dyDescent="0.35">
      <c r="A126" s="1"/>
      <c r="B126" s="449" t="s">
        <v>283</v>
      </c>
      <c r="C126" s="459">
        <v>2030</v>
      </c>
      <c r="D126" t="s">
        <v>295</v>
      </c>
      <c r="E126" t="s">
        <v>111</v>
      </c>
      <c r="F126" t="s">
        <v>107</v>
      </c>
      <c r="G126">
        <v>30</v>
      </c>
      <c r="H126">
        <v>1.5551E-3</v>
      </c>
      <c r="I126">
        <v>5.4870500000000003E-3</v>
      </c>
      <c r="J126" s="460">
        <v>7.38428E-2</v>
      </c>
      <c r="K126" s="1"/>
      <c r="L126" s="1"/>
      <c r="M126" s="1"/>
      <c r="N126" s="2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33" s="18" customFormat="1" x14ac:dyDescent="0.35">
      <c r="A127" s="1"/>
      <c r="B127" s="449" t="s">
        <v>283</v>
      </c>
      <c r="C127" s="459">
        <v>2030</v>
      </c>
      <c r="D127" t="s">
        <v>295</v>
      </c>
      <c r="E127" t="s">
        <v>111</v>
      </c>
      <c r="F127" t="s">
        <v>107</v>
      </c>
      <c r="G127">
        <v>35</v>
      </c>
      <c r="H127">
        <v>1.44056E-3</v>
      </c>
      <c r="I127">
        <v>4.5390200000000004E-3</v>
      </c>
      <c r="J127" s="460">
        <v>5.6723599999999999E-2</v>
      </c>
      <c r="K127" s="1"/>
      <c r="L127" s="1"/>
      <c r="M127" s="1"/>
      <c r="N127" s="2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33" s="18" customFormat="1" x14ac:dyDescent="0.35">
      <c r="A128" s="1"/>
      <c r="B128" s="449" t="s">
        <v>283</v>
      </c>
      <c r="C128" s="459">
        <v>2030</v>
      </c>
      <c r="D128" t="s">
        <v>295</v>
      </c>
      <c r="E128" t="s">
        <v>111</v>
      </c>
      <c r="F128" t="s">
        <v>107</v>
      </c>
      <c r="G128">
        <v>40</v>
      </c>
      <c r="H128">
        <v>1.35436E-3</v>
      </c>
      <c r="I128">
        <v>4.1070200000000003E-3</v>
      </c>
      <c r="J128" s="460">
        <v>5.23712E-2</v>
      </c>
      <c r="K128" s="1"/>
      <c r="L128" s="1"/>
      <c r="M128" s="1"/>
      <c r="N128" s="2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s="18" customFormat="1" x14ac:dyDescent="0.35">
      <c r="A129" s="1"/>
      <c r="B129" s="449" t="s">
        <v>283</v>
      </c>
      <c r="C129" s="459">
        <v>2030</v>
      </c>
      <c r="D129" t="s">
        <v>295</v>
      </c>
      <c r="E129" t="s">
        <v>111</v>
      </c>
      <c r="F129" t="s">
        <v>107</v>
      </c>
      <c r="G129">
        <v>45</v>
      </c>
      <c r="H129">
        <v>1.30652E-3</v>
      </c>
      <c r="I129">
        <v>3.8044400000000001E-3</v>
      </c>
      <c r="J129" s="460">
        <v>4.8985899999999999E-2</v>
      </c>
      <c r="K129" s="1"/>
      <c r="L129" s="1"/>
      <c r="M129" s="1"/>
      <c r="N129" s="2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s="18" customFormat="1" x14ac:dyDescent="0.35">
      <c r="A130" s="1"/>
      <c r="B130" s="449" t="s">
        <v>283</v>
      </c>
      <c r="C130" s="459">
        <v>2030</v>
      </c>
      <c r="D130" t="s">
        <v>295</v>
      </c>
      <c r="E130" t="s">
        <v>111</v>
      </c>
      <c r="F130" t="s">
        <v>107</v>
      </c>
      <c r="G130">
        <v>50</v>
      </c>
      <c r="H130">
        <v>1.30079E-3</v>
      </c>
      <c r="I130">
        <v>3.6457799999999999E-3</v>
      </c>
      <c r="J130" s="460">
        <v>4.2868400000000001E-2</v>
      </c>
      <c r="K130" s="1"/>
      <c r="L130" s="1"/>
      <c r="M130" s="1"/>
      <c r="N130" s="2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s="18" customFormat="1" x14ac:dyDescent="0.35">
      <c r="A131" s="1"/>
      <c r="B131" s="449" t="s">
        <v>283</v>
      </c>
      <c r="C131" s="459">
        <v>2030</v>
      </c>
      <c r="D131" t="s">
        <v>295</v>
      </c>
      <c r="E131" t="s">
        <v>111</v>
      </c>
      <c r="F131" t="s">
        <v>107</v>
      </c>
      <c r="G131">
        <v>55</v>
      </c>
      <c r="H131">
        <v>1.30762E-3</v>
      </c>
      <c r="I131">
        <v>3.5333600000000001E-3</v>
      </c>
      <c r="J131" s="460">
        <v>3.61077E-2</v>
      </c>
      <c r="K131" s="1"/>
      <c r="L131" s="1"/>
      <c r="M131" s="1"/>
      <c r="N131" s="2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s="18" customFormat="1" x14ac:dyDescent="0.35">
      <c r="A132" s="1"/>
      <c r="B132" s="449" t="s">
        <v>283</v>
      </c>
      <c r="C132" s="459">
        <v>2030</v>
      </c>
      <c r="D132" t="s">
        <v>295</v>
      </c>
      <c r="E132" t="s">
        <v>111</v>
      </c>
      <c r="F132" t="s">
        <v>107</v>
      </c>
      <c r="G132">
        <v>60</v>
      </c>
      <c r="H132">
        <v>1.32704E-3</v>
      </c>
      <c r="I132">
        <v>3.4148199999999998E-3</v>
      </c>
      <c r="J132" s="460">
        <v>3.3393399999999997E-2</v>
      </c>
      <c r="K132" s="1"/>
      <c r="L132" s="1"/>
      <c r="M132" s="1"/>
      <c r="N132" s="2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s="18" customFormat="1" x14ac:dyDescent="0.35">
      <c r="A133" s="1"/>
      <c r="B133" s="449" t="s">
        <v>283</v>
      </c>
      <c r="C133" s="459">
        <v>2030</v>
      </c>
      <c r="D133" t="s">
        <v>295</v>
      </c>
      <c r="E133" t="s">
        <v>111</v>
      </c>
      <c r="F133" t="s">
        <v>107</v>
      </c>
      <c r="G133">
        <v>65</v>
      </c>
      <c r="H133">
        <v>1.3738800000000001E-3</v>
      </c>
      <c r="I133">
        <v>3.5042599999999999E-3</v>
      </c>
      <c r="J133" s="460">
        <v>3.4930000000000003E-2</v>
      </c>
      <c r="K133" s="1"/>
      <c r="L133" s="1"/>
      <c r="M133" s="1"/>
      <c r="N133" s="2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s="18" customFormat="1" x14ac:dyDescent="0.35">
      <c r="A134" s="1"/>
      <c r="B134" s="449" t="s">
        <v>283</v>
      </c>
      <c r="C134" s="459">
        <v>2030</v>
      </c>
      <c r="D134" t="s">
        <v>295</v>
      </c>
      <c r="E134" t="s">
        <v>111</v>
      </c>
      <c r="F134" t="s">
        <v>107</v>
      </c>
      <c r="G134">
        <v>70</v>
      </c>
      <c r="H134">
        <v>1.49117E-3</v>
      </c>
      <c r="I134">
        <v>3.6521700000000002E-3</v>
      </c>
      <c r="J134" s="460">
        <v>3.6247000000000001E-2</v>
      </c>
      <c r="K134" s="1"/>
      <c r="L134" s="1"/>
      <c r="M134" s="1"/>
      <c r="N134" s="2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s="18" customFormat="1" x14ac:dyDescent="0.35">
      <c r="A135" s="1"/>
      <c r="B135" s="450" t="s">
        <v>283</v>
      </c>
      <c r="C135" s="461">
        <v>2030</v>
      </c>
      <c r="D135" s="462" t="s">
        <v>295</v>
      </c>
      <c r="E135" s="462" t="s">
        <v>111</v>
      </c>
      <c r="F135" s="462" t="s">
        <v>107</v>
      </c>
      <c r="G135" s="462">
        <v>75</v>
      </c>
      <c r="H135" s="462">
        <v>1.7220200000000001E-3</v>
      </c>
      <c r="I135" s="462">
        <v>3.8676499999999998E-3</v>
      </c>
      <c r="J135" s="463">
        <v>3.82394E-2</v>
      </c>
      <c r="K135" s="1"/>
      <c r="L135" s="1"/>
      <c r="M135" s="1"/>
      <c r="N135" s="2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s="18" customFormat="1" x14ac:dyDescent="0.35">
      <c r="A136" s="1"/>
      <c r="B136" s="448" t="s">
        <v>283</v>
      </c>
      <c r="C136" s="456">
        <v>2030</v>
      </c>
      <c r="D136" s="457" t="s">
        <v>284</v>
      </c>
      <c r="E136" s="457" t="s">
        <v>113</v>
      </c>
      <c r="F136" s="457" t="s">
        <v>107</v>
      </c>
      <c r="G136" s="457">
        <v>2.5</v>
      </c>
      <c r="H136" s="457">
        <v>0.121808</v>
      </c>
      <c r="I136" s="457">
        <v>2.9460999999999999</v>
      </c>
      <c r="J136" s="458">
        <v>34.245399999999997</v>
      </c>
      <c r="K136" s="1"/>
      <c r="L136" s="1"/>
      <c r="M136" s="1"/>
      <c r="N136" s="2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s="18" customFormat="1" x14ac:dyDescent="0.35">
      <c r="A137" s="1"/>
      <c r="B137" s="449" t="s">
        <v>283</v>
      </c>
      <c r="C137" s="459">
        <v>2030</v>
      </c>
      <c r="D137" t="s">
        <v>284</v>
      </c>
      <c r="E137" t="s">
        <v>113</v>
      </c>
      <c r="F137" t="s">
        <v>107</v>
      </c>
      <c r="G137">
        <v>5</v>
      </c>
      <c r="H137">
        <v>9.7208199999999995E-2</v>
      </c>
      <c r="I137">
        <v>1.66781</v>
      </c>
      <c r="J137" s="460">
        <v>18.910399999999999</v>
      </c>
      <c r="K137" s="1"/>
      <c r="L137" s="1"/>
      <c r="M137" s="1"/>
      <c r="N137" s="2"/>
      <c r="O137" s="1"/>
      <c r="P137" s="1"/>
      <c r="Q137" s="1"/>
      <c r="X137" s="1"/>
      <c r="Y137" s="1"/>
    </row>
    <row r="138" spans="1:25" s="18" customFormat="1" x14ac:dyDescent="0.35">
      <c r="A138" s="1"/>
      <c r="B138" s="449" t="s">
        <v>283</v>
      </c>
      <c r="C138" s="459">
        <v>2030</v>
      </c>
      <c r="D138" t="s">
        <v>284</v>
      </c>
      <c r="E138" t="s">
        <v>113</v>
      </c>
      <c r="F138" t="s">
        <v>107</v>
      </c>
      <c r="G138">
        <v>10</v>
      </c>
      <c r="H138">
        <v>8.4908399999999995E-2</v>
      </c>
      <c r="I138">
        <v>1.0130699999999999</v>
      </c>
      <c r="J138" s="460">
        <v>11.2226</v>
      </c>
      <c r="K138" s="1"/>
      <c r="L138" s="1"/>
      <c r="M138" s="1"/>
      <c r="N138" s="2"/>
      <c r="O138" s="1"/>
      <c r="P138" s="1"/>
      <c r="Q138" s="1"/>
      <c r="X138" s="1"/>
      <c r="Y138" s="1"/>
    </row>
    <row r="139" spans="1:25" s="18" customFormat="1" x14ac:dyDescent="0.35">
      <c r="A139" s="1"/>
      <c r="B139" s="449" t="s">
        <v>283</v>
      </c>
      <c r="C139" s="459">
        <v>2030</v>
      </c>
      <c r="D139" t="s">
        <v>284</v>
      </c>
      <c r="E139" t="s">
        <v>113</v>
      </c>
      <c r="F139" t="s">
        <v>107</v>
      </c>
      <c r="G139">
        <v>20</v>
      </c>
      <c r="H139">
        <v>7.8012100000000001E-2</v>
      </c>
      <c r="I139">
        <v>0.62922199999999995</v>
      </c>
      <c r="J139" s="460">
        <v>6.8814000000000002</v>
      </c>
      <c r="K139" s="1"/>
      <c r="L139" s="1"/>
      <c r="M139" s="1"/>
      <c r="N139" s="2"/>
      <c r="O139" s="1"/>
      <c r="P139" s="1"/>
      <c r="Q139" s="1"/>
      <c r="X139" s="1"/>
      <c r="Y139" s="1"/>
    </row>
    <row r="140" spans="1:25" s="18" customFormat="1" x14ac:dyDescent="0.35">
      <c r="A140" s="1"/>
      <c r="B140" s="449" t="s">
        <v>283</v>
      </c>
      <c r="C140" s="459">
        <v>2030</v>
      </c>
      <c r="D140" t="s">
        <v>284</v>
      </c>
      <c r="E140" t="s">
        <v>113</v>
      </c>
      <c r="F140" t="s">
        <v>107</v>
      </c>
      <c r="G140">
        <v>25</v>
      </c>
      <c r="H140">
        <v>8.0808500000000005E-2</v>
      </c>
      <c r="I140">
        <v>0.77834000000000003</v>
      </c>
      <c r="J140" s="460">
        <v>8.6016999999999992</v>
      </c>
      <c r="K140" s="1"/>
      <c r="L140" s="1"/>
      <c r="M140" s="1"/>
      <c r="N140" s="2"/>
      <c r="O140" s="1"/>
      <c r="P140" s="1"/>
      <c r="Q140" s="1"/>
      <c r="X140" s="1"/>
      <c r="Y140" s="1"/>
    </row>
    <row r="141" spans="1:25" s="18" customFormat="1" x14ac:dyDescent="0.35">
      <c r="A141" s="1"/>
      <c r="B141" s="449" t="s">
        <v>283</v>
      </c>
      <c r="C141" s="459">
        <v>2030</v>
      </c>
      <c r="D141" t="s">
        <v>284</v>
      </c>
      <c r="E141" t="s">
        <v>113</v>
      </c>
      <c r="F141" t="s">
        <v>107</v>
      </c>
      <c r="G141">
        <v>25</v>
      </c>
      <c r="H141">
        <v>7.4831700000000001E-2</v>
      </c>
      <c r="I141">
        <v>0.52266100000000004</v>
      </c>
      <c r="J141" s="460">
        <v>5.9042399999999997</v>
      </c>
      <c r="K141" s="1"/>
      <c r="L141" s="1"/>
      <c r="M141" s="1"/>
      <c r="N141" s="2"/>
      <c r="O141" s="1"/>
      <c r="P141" s="1"/>
      <c r="Q141" s="1"/>
      <c r="X141" s="1"/>
      <c r="Y141" s="1"/>
    </row>
    <row r="142" spans="1:25" s="18" customFormat="1" x14ac:dyDescent="0.35">
      <c r="A142" s="1"/>
      <c r="B142" s="449" t="s">
        <v>283</v>
      </c>
      <c r="C142" s="459">
        <v>2030</v>
      </c>
      <c r="D142" t="s">
        <v>284</v>
      </c>
      <c r="E142" t="s">
        <v>113</v>
      </c>
      <c r="F142" t="s">
        <v>107</v>
      </c>
      <c r="G142">
        <v>30</v>
      </c>
      <c r="H142">
        <v>7.0765400000000006E-2</v>
      </c>
      <c r="I142">
        <v>0.45625300000000002</v>
      </c>
      <c r="J142" s="460">
        <v>5.2965200000000001</v>
      </c>
      <c r="K142" s="1"/>
      <c r="L142" s="1"/>
      <c r="M142" s="1"/>
      <c r="N142" s="2"/>
      <c r="O142" s="1"/>
      <c r="P142" s="1"/>
      <c r="Q142" s="1"/>
      <c r="X142" s="1"/>
      <c r="Y142" s="1"/>
    </row>
    <row r="143" spans="1:25" s="18" customFormat="1" x14ac:dyDescent="0.35">
      <c r="A143" s="1"/>
      <c r="B143" s="449" t="s">
        <v>283</v>
      </c>
      <c r="C143" s="459">
        <v>2030</v>
      </c>
      <c r="D143" t="s">
        <v>284</v>
      </c>
      <c r="E143" t="s">
        <v>113</v>
      </c>
      <c r="F143" t="s">
        <v>107</v>
      </c>
      <c r="G143">
        <v>35</v>
      </c>
      <c r="H143">
        <v>7.1350499999999997E-2</v>
      </c>
      <c r="I143">
        <v>0.375363</v>
      </c>
      <c r="J143" s="460">
        <v>4.1958000000000002</v>
      </c>
      <c r="K143" s="1"/>
      <c r="L143" s="1"/>
      <c r="M143" s="1"/>
      <c r="N143" s="2"/>
      <c r="O143" s="1"/>
      <c r="P143" s="1"/>
      <c r="Q143" s="1"/>
      <c r="X143" s="1"/>
      <c r="Y143" s="1"/>
    </row>
    <row r="144" spans="1:25" s="18" customFormat="1" x14ac:dyDescent="0.35">
      <c r="A144" s="1"/>
      <c r="B144" s="449" t="s">
        <v>283</v>
      </c>
      <c r="C144" s="459">
        <v>2030</v>
      </c>
      <c r="D144" t="s">
        <v>284</v>
      </c>
      <c r="E144" t="s">
        <v>113</v>
      </c>
      <c r="F144" t="s">
        <v>107</v>
      </c>
      <c r="G144">
        <v>40</v>
      </c>
      <c r="H144">
        <v>7.2605900000000001E-2</v>
      </c>
      <c r="I144">
        <v>0.32540599999999997</v>
      </c>
      <c r="J144" s="460">
        <v>3.6942599999999999</v>
      </c>
      <c r="K144" s="1"/>
      <c r="L144" s="1"/>
      <c r="M144" s="1"/>
      <c r="N144" s="2"/>
      <c r="O144" s="1"/>
      <c r="P144" s="1"/>
      <c r="Q144" s="1"/>
      <c r="X144" s="1"/>
      <c r="Y144" s="1"/>
    </row>
    <row r="145" spans="1:25" s="18" customFormat="1" x14ac:dyDescent="0.35">
      <c r="A145" s="1"/>
      <c r="B145" s="449" t="s">
        <v>283</v>
      </c>
      <c r="C145" s="459">
        <v>2030</v>
      </c>
      <c r="D145" t="s">
        <v>284</v>
      </c>
      <c r="E145" t="s">
        <v>113</v>
      </c>
      <c r="F145" t="s">
        <v>107</v>
      </c>
      <c r="G145">
        <v>45</v>
      </c>
      <c r="H145">
        <v>7.4216599999999994E-2</v>
      </c>
      <c r="I145">
        <v>0.286555</v>
      </c>
      <c r="J145" s="460">
        <v>3.3041800000000001</v>
      </c>
      <c r="K145" s="1"/>
      <c r="L145" s="1"/>
      <c r="M145" s="1"/>
      <c r="N145" s="2"/>
      <c r="O145" s="1"/>
      <c r="P145" s="1"/>
      <c r="Q145" s="1"/>
      <c r="X145" s="1"/>
      <c r="Y145" s="1"/>
    </row>
    <row r="146" spans="1:25" s="18" customFormat="1" x14ac:dyDescent="0.35">
      <c r="A146" s="1"/>
      <c r="B146" s="449" t="s">
        <v>283</v>
      </c>
      <c r="C146" s="459">
        <v>2030</v>
      </c>
      <c r="D146" t="s">
        <v>284</v>
      </c>
      <c r="E146" t="s">
        <v>113</v>
      </c>
      <c r="F146" t="s">
        <v>107</v>
      </c>
      <c r="G146">
        <v>50</v>
      </c>
      <c r="H146">
        <v>7.6580999999999996E-2</v>
      </c>
      <c r="I146">
        <v>0.25522299999999998</v>
      </c>
      <c r="J146" s="460">
        <v>2.8239899999999998</v>
      </c>
      <c r="K146" s="1"/>
      <c r="L146" s="1"/>
      <c r="M146" s="1"/>
      <c r="N146" s="2"/>
      <c r="O146" s="1"/>
      <c r="P146" s="1"/>
      <c r="Q146" s="1"/>
      <c r="X146" s="1"/>
      <c r="Y146" s="1"/>
    </row>
    <row r="147" spans="1:25" s="18" customFormat="1" x14ac:dyDescent="0.35">
      <c r="A147" s="1"/>
      <c r="B147" s="449" t="s">
        <v>283</v>
      </c>
      <c r="C147" s="459">
        <v>2030</v>
      </c>
      <c r="D147" t="s">
        <v>284</v>
      </c>
      <c r="E147" t="s">
        <v>113</v>
      </c>
      <c r="F147" t="s">
        <v>107</v>
      </c>
      <c r="G147">
        <v>55</v>
      </c>
      <c r="H147">
        <v>8.0038799999999993E-2</v>
      </c>
      <c r="I147">
        <v>0.23113300000000001</v>
      </c>
      <c r="J147" s="460">
        <v>2.3704499999999999</v>
      </c>
      <c r="K147" s="1"/>
      <c r="L147" s="1"/>
      <c r="M147" s="1"/>
      <c r="N147" s="2"/>
      <c r="O147" s="1"/>
      <c r="P147" s="1"/>
      <c r="Q147" s="1"/>
      <c r="X147" s="1"/>
      <c r="Y147" s="1"/>
    </row>
    <row r="148" spans="1:25" s="18" customFormat="1" x14ac:dyDescent="0.35">
      <c r="A148" s="1"/>
      <c r="B148" s="449" t="s">
        <v>283</v>
      </c>
      <c r="C148" s="459">
        <v>2030</v>
      </c>
      <c r="D148" t="s">
        <v>284</v>
      </c>
      <c r="E148" t="s">
        <v>113</v>
      </c>
      <c r="F148" t="s">
        <v>107</v>
      </c>
      <c r="G148">
        <v>60</v>
      </c>
      <c r="H148">
        <v>8.4736099999999995E-2</v>
      </c>
      <c r="I148">
        <v>0.21115</v>
      </c>
      <c r="J148" s="460">
        <v>2.2757499999999999</v>
      </c>
      <c r="K148" s="1"/>
      <c r="L148" s="1"/>
      <c r="M148" s="1"/>
      <c r="N148" s="2"/>
      <c r="O148" s="1"/>
      <c r="P148" s="1"/>
      <c r="Q148" s="1"/>
      <c r="X148" s="1"/>
      <c r="Y148" s="1"/>
    </row>
    <row r="149" spans="1:25" s="18" customFormat="1" x14ac:dyDescent="0.35">
      <c r="A149" s="1"/>
      <c r="B149" s="449" t="s">
        <v>283</v>
      </c>
      <c r="C149" s="459">
        <v>2030</v>
      </c>
      <c r="D149" t="s">
        <v>284</v>
      </c>
      <c r="E149" t="s">
        <v>113</v>
      </c>
      <c r="F149" t="s">
        <v>107</v>
      </c>
      <c r="G149">
        <v>65</v>
      </c>
      <c r="H149">
        <v>9.2575099999999994E-2</v>
      </c>
      <c r="I149">
        <v>0.220274</v>
      </c>
      <c r="J149" s="460">
        <v>2.4835199999999999</v>
      </c>
      <c r="K149" s="1"/>
      <c r="L149" s="1"/>
      <c r="M149" s="1"/>
      <c r="N149" s="2"/>
      <c r="O149" s="1"/>
      <c r="P149" s="1"/>
      <c r="Q149" s="1"/>
      <c r="X149" s="1"/>
      <c r="Y149" s="1"/>
    </row>
    <row r="150" spans="1:25" s="18" customFormat="1" x14ac:dyDescent="0.35">
      <c r="A150" s="1"/>
      <c r="B150" s="449" t="s">
        <v>283</v>
      </c>
      <c r="C150" s="459">
        <v>2030</v>
      </c>
      <c r="D150" t="s">
        <v>284</v>
      </c>
      <c r="E150" t="s">
        <v>113</v>
      </c>
      <c r="F150" t="s">
        <v>107</v>
      </c>
      <c r="G150">
        <v>70</v>
      </c>
      <c r="H150">
        <v>0.109095</v>
      </c>
      <c r="I150">
        <v>0.238006</v>
      </c>
      <c r="J150" s="460">
        <v>2.6616</v>
      </c>
      <c r="K150" s="1"/>
      <c r="L150" s="1"/>
      <c r="M150" s="1"/>
      <c r="N150" s="2"/>
      <c r="O150" s="1"/>
      <c r="P150" s="1"/>
      <c r="Q150" s="1"/>
      <c r="X150" s="1"/>
      <c r="Y150" s="1"/>
    </row>
    <row r="151" spans="1:25" s="18" customFormat="1" x14ac:dyDescent="0.35">
      <c r="A151" s="1"/>
      <c r="B151" s="450" t="s">
        <v>283</v>
      </c>
      <c r="C151" s="461">
        <v>2030</v>
      </c>
      <c r="D151" s="462" t="s">
        <v>284</v>
      </c>
      <c r="E151" s="462" t="s">
        <v>113</v>
      </c>
      <c r="F151" s="462" t="s">
        <v>107</v>
      </c>
      <c r="G151" s="462">
        <v>75</v>
      </c>
      <c r="H151" s="462">
        <v>0.13027</v>
      </c>
      <c r="I151" s="462">
        <v>0.26112600000000002</v>
      </c>
      <c r="J151" s="463">
        <v>2.8633099999999998</v>
      </c>
      <c r="K151" s="1"/>
      <c r="L151" s="1"/>
      <c r="M151" s="1"/>
      <c r="N151" s="2"/>
      <c r="O151" s="1"/>
      <c r="P151" s="1"/>
      <c r="Q151" s="1"/>
      <c r="X151" s="1"/>
      <c r="Y151" s="1"/>
    </row>
    <row r="152" spans="1:25" s="18" customFormat="1" x14ac:dyDescent="0.35">
      <c r="A152" s="1"/>
      <c r="B152" s="451" t="s">
        <v>283</v>
      </c>
      <c r="C152" s="459">
        <v>2030</v>
      </c>
      <c r="D152" t="s">
        <v>284</v>
      </c>
      <c r="E152" t="s">
        <v>115</v>
      </c>
      <c r="F152" t="s">
        <v>107</v>
      </c>
      <c r="G152">
        <v>2.5</v>
      </c>
      <c r="H152">
        <v>5.7846000000000002E-2</v>
      </c>
      <c r="I152">
        <v>0.25490200000000002</v>
      </c>
      <c r="J152" s="460">
        <v>0.94145999999999996</v>
      </c>
      <c r="K152" s="1"/>
      <c r="L152" s="1"/>
      <c r="M152" s="1"/>
      <c r="N152" s="2"/>
      <c r="O152" s="1"/>
      <c r="P152" s="1"/>
      <c r="Q152" s="1"/>
      <c r="X152" s="1"/>
      <c r="Y152" s="1"/>
    </row>
    <row r="153" spans="1:25" s="18" customFormat="1" x14ac:dyDescent="0.35">
      <c r="A153" s="1"/>
      <c r="B153" s="449" t="s">
        <v>283</v>
      </c>
      <c r="C153" s="459">
        <v>2030</v>
      </c>
      <c r="D153" t="s">
        <v>284</v>
      </c>
      <c r="E153" t="s">
        <v>115</v>
      </c>
      <c r="F153" t="s">
        <v>107</v>
      </c>
      <c r="G153">
        <v>5</v>
      </c>
      <c r="H153">
        <v>3.77252E-2</v>
      </c>
      <c r="I153">
        <v>0.14866799999999999</v>
      </c>
      <c r="J153" s="460">
        <v>0.51313200000000003</v>
      </c>
      <c r="K153" s="1"/>
      <c r="L153" s="1"/>
      <c r="M153" s="1"/>
      <c r="N153" s="2"/>
      <c r="O153" s="1"/>
      <c r="P153" s="1"/>
      <c r="Q153" s="1"/>
      <c r="X153" s="1"/>
      <c r="Y153" s="1"/>
    </row>
    <row r="154" spans="1:25" s="18" customFormat="1" x14ac:dyDescent="0.35">
      <c r="A154" s="1"/>
      <c r="B154" s="449" t="s">
        <v>283</v>
      </c>
      <c r="C154" s="459">
        <v>2030</v>
      </c>
      <c r="D154" t="s">
        <v>284</v>
      </c>
      <c r="E154" t="s">
        <v>115</v>
      </c>
      <c r="F154" t="s">
        <v>107</v>
      </c>
      <c r="G154">
        <v>10</v>
      </c>
      <c r="H154">
        <v>2.7664899999999999E-2</v>
      </c>
      <c r="I154">
        <v>9.1633699999999998E-2</v>
      </c>
      <c r="J154" s="460">
        <v>0.276362</v>
      </c>
      <c r="K154" s="1"/>
      <c r="L154" s="1"/>
      <c r="M154" s="1"/>
      <c r="N154" s="2"/>
      <c r="O154" s="1"/>
      <c r="P154" s="1"/>
      <c r="Q154" s="1"/>
      <c r="X154" s="1"/>
      <c r="Y154" s="1"/>
    </row>
    <row r="155" spans="1:25" s="18" customFormat="1" x14ac:dyDescent="0.35">
      <c r="A155" s="1"/>
      <c r="B155" s="449" t="s">
        <v>283</v>
      </c>
      <c r="C155" s="459">
        <v>2030</v>
      </c>
      <c r="D155" t="s">
        <v>284</v>
      </c>
      <c r="E155" t="s">
        <v>115</v>
      </c>
      <c r="F155" t="s">
        <v>107</v>
      </c>
      <c r="G155">
        <v>20</v>
      </c>
      <c r="H155">
        <v>2.2139200000000001E-2</v>
      </c>
      <c r="I155">
        <v>5.8669100000000002E-2</v>
      </c>
      <c r="J155" s="460">
        <v>0.150144</v>
      </c>
      <c r="K155" s="1"/>
      <c r="L155" s="1"/>
      <c r="M155" s="1"/>
      <c r="N155" s="2"/>
      <c r="O155" s="1"/>
      <c r="P155" s="1"/>
      <c r="Q155" s="1"/>
      <c r="X155" s="1"/>
      <c r="Y155" s="1"/>
    </row>
    <row r="156" spans="1:25" s="18" customFormat="1" x14ac:dyDescent="0.35">
      <c r="A156" s="1"/>
      <c r="B156" s="449" t="s">
        <v>283</v>
      </c>
      <c r="C156" s="459">
        <v>2030</v>
      </c>
      <c r="D156" t="s">
        <v>284</v>
      </c>
      <c r="E156" t="s">
        <v>115</v>
      </c>
      <c r="F156" t="s">
        <v>107</v>
      </c>
      <c r="G156">
        <v>25</v>
      </c>
      <c r="H156">
        <v>2.43114E-2</v>
      </c>
      <c r="I156">
        <v>7.1473300000000003E-2</v>
      </c>
      <c r="J156" s="460">
        <v>0.19619400000000001</v>
      </c>
      <c r="K156" s="1"/>
      <c r="L156" s="1"/>
      <c r="M156" s="1"/>
      <c r="N156" s="2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s="18" customFormat="1" x14ac:dyDescent="0.35">
      <c r="A157" s="1"/>
      <c r="B157" s="449" t="s">
        <v>283</v>
      </c>
      <c r="C157" s="459">
        <v>2030</v>
      </c>
      <c r="D157" t="s">
        <v>284</v>
      </c>
      <c r="E157" t="s">
        <v>115</v>
      </c>
      <c r="F157" t="s">
        <v>107</v>
      </c>
      <c r="G157">
        <v>25</v>
      </c>
      <c r="H157">
        <v>1.98383E-2</v>
      </c>
      <c r="I157">
        <v>4.8418200000000002E-2</v>
      </c>
      <c r="J157" s="460">
        <v>0.12770799999999999</v>
      </c>
      <c r="K157" s="1"/>
      <c r="L157" s="1"/>
      <c r="M157" s="1"/>
      <c r="N157" s="2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s="18" customFormat="1" x14ac:dyDescent="0.35">
      <c r="A158" s="1"/>
      <c r="B158" s="449" t="s">
        <v>283</v>
      </c>
      <c r="C158" s="459">
        <v>2030</v>
      </c>
      <c r="D158" t="s">
        <v>284</v>
      </c>
      <c r="E158" t="s">
        <v>115</v>
      </c>
      <c r="F158" t="s">
        <v>107</v>
      </c>
      <c r="G158">
        <v>30</v>
      </c>
      <c r="H158">
        <v>1.8427700000000002E-2</v>
      </c>
      <c r="I158">
        <v>4.2497600000000003E-2</v>
      </c>
      <c r="J158" s="460">
        <v>0.113718</v>
      </c>
      <c r="K158" s="1"/>
      <c r="L158" s="1"/>
      <c r="M158" s="1"/>
      <c r="N158" s="2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s="18" customFormat="1" x14ac:dyDescent="0.35">
      <c r="A159" s="1"/>
      <c r="B159" s="449" t="s">
        <v>283</v>
      </c>
      <c r="C159" s="459">
        <v>2030</v>
      </c>
      <c r="D159" t="s">
        <v>284</v>
      </c>
      <c r="E159" t="s">
        <v>115</v>
      </c>
      <c r="F159" t="s">
        <v>107</v>
      </c>
      <c r="G159">
        <v>35</v>
      </c>
      <c r="H159">
        <v>1.6728199999999999E-2</v>
      </c>
      <c r="I159">
        <v>3.5798200000000002E-2</v>
      </c>
      <c r="J159" s="460">
        <v>9.6704999999999999E-2</v>
      </c>
      <c r="K159" s="1"/>
      <c r="L159" s="1"/>
      <c r="M159" s="1"/>
      <c r="N159" s="2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s="18" customFormat="1" x14ac:dyDescent="0.35">
      <c r="A160" s="1"/>
      <c r="B160" s="449" t="s">
        <v>283</v>
      </c>
      <c r="C160" s="459">
        <v>2030</v>
      </c>
      <c r="D160" t="s">
        <v>284</v>
      </c>
      <c r="E160" t="s">
        <v>115</v>
      </c>
      <c r="F160" t="s">
        <v>107</v>
      </c>
      <c r="G160">
        <v>40</v>
      </c>
      <c r="H160">
        <v>1.52958E-2</v>
      </c>
      <c r="I160">
        <v>3.03152E-2</v>
      </c>
      <c r="J160" s="460">
        <v>8.9188000000000003E-2</v>
      </c>
      <c r="K160" s="1"/>
      <c r="L160" s="1"/>
      <c r="M160" s="1"/>
      <c r="N160" s="2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46" s="18" customFormat="1" x14ac:dyDescent="0.35">
      <c r="A161" s="1"/>
      <c r="B161" s="449" t="s">
        <v>283</v>
      </c>
      <c r="C161" s="459">
        <v>2030</v>
      </c>
      <c r="D161" t="s">
        <v>284</v>
      </c>
      <c r="E161" t="s">
        <v>115</v>
      </c>
      <c r="F161" t="s">
        <v>107</v>
      </c>
      <c r="G161">
        <v>45</v>
      </c>
      <c r="H161">
        <v>1.44203E-2</v>
      </c>
      <c r="I161">
        <v>2.61909E-2</v>
      </c>
      <c r="J161" s="460">
        <v>8.3341399999999996E-2</v>
      </c>
      <c r="K161" s="1"/>
      <c r="L161" s="1"/>
      <c r="M161" s="1"/>
      <c r="N161" s="2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46" s="18" customFormat="1" x14ac:dyDescent="0.35">
      <c r="A162" s="1"/>
      <c r="B162" s="449" t="s">
        <v>283</v>
      </c>
      <c r="C162" s="459">
        <v>2030</v>
      </c>
      <c r="D162" t="s">
        <v>284</v>
      </c>
      <c r="E162" t="s">
        <v>115</v>
      </c>
      <c r="F162" t="s">
        <v>107</v>
      </c>
      <c r="G162">
        <v>50</v>
      </c>
      <c r="H162">
        <v>1.41242E-2</v>
      </c>
      <c r="I162">
        <v>2.30326E-2</v>
      </c>
      <c r="J162" s="460">
        <v>7.6100000000000001E-2</v>
      </c>
      <c r="K162" s="1"/>
      <c r="L162" s="1"/>
      <c r="M162" s="1"/>
      <c r="N162" s="2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46" s="18" customFormat="1" x14ac:dyDescent="0.35">
      <c r="A163" s="1"/>
      <c r="B163" s="449" t="s">
        <v>283</v>
      </c>
      <c r="C163" s="459">
        <v>2030</v>
      </c>
      <c r="D163" t="s">
        <v>284</v>
      </c>
      <c r="E163" t="s">
        <v>115</v>
      </c>
      <c r="F163" t="s">
        <v>107</v>
      </c>
      <c r="G163">
        <v>55</v>
      </c>
      <c r="H163">
        <v>1.41578E-2</v>
      </c>
      <c r="I163">
        <v>2.0769200000000002E-2</v>
      </c>
      <c r="J163" s="460">
        <v>6.8760500000000002E-2</v>
      </c>
      <c r="K163" s="1"/>
      <c r="L163" s="1"/>
      <c r="M163" s="1"/>
      <c r="N163" s="2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46" s="18" customFormat="1" x14ac:dyDescent="0.35">
      <c r="A164" s="1"/>
      <c r="B164" s="449" t="s">
        <v>283</v>
      </c>
      <c r="C164" s="459">
        <v>2030</v>
      </c>
      <c r="D164" t="s">
        <v>284</v>
      </c>
      <c r="E164" t="s">
        <v>115</v>
      </c>
      <c r="F164" t="s">
        <v>107</v>
      </c>
      <c r="G164">
        <v>60</v>
      </c>
      <c r="H164">
        <v>1.4514300000000001E-2</v>
      </c>
      <c r="I164">
        <v>1.9618699999999999E-2</v>
      </c>
      <c r="J164" s="460">
        <v>6.4539899999999997E-2</v>
      </c>
      <c r="K164" s="1"/>
      <c r="L164" s="1"/>
      <c r="M164" s="1"/>
      <c r="N164" s="2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46" s="18" customFormat="1" x14ac:dyDescent="0.35">
      <c r="A165" s="1"/>
      <c r="B165" s="449" t="s">
        <v>283</v>
      </c>
      <c r="C165" s="459">
        <v>2030</v>
      </c>
      <c r="D165" t="s">
        <v>284</v>
      </c>
      <c r="E165" t="s">
        <v>115</v>
      </c>
      <c r="F165" t="s">
        <v>107</v>
      </c>
      <c r="G165">
        <v>65</v>
      </c>
      <c r="H165">
        <v>1.56226E-2</v>
      </c>
      <c r="I165">
        <v>2.02851E-2</v>
      </c>
      <c r="J165" s="460">
        <v>6.4899799999999994E-2</v>
      </c>
      <c r="K165" s="1"/>
      <c r="L165" s="1"/>
      <c r="M165" s="1"/>
      <c r="N165" s="2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46" s="18" customFormat="1" x14ac:dyDescent="0.35">
      <c r="A166" s="1"/>
      <c r="B166" s="449" t="s">
        <v>283</v>
      </c>
      <c r="C166" s="459">
        <v>2030</v>
      </c>
      <c r="D166" t="s">
        <v>284</v>
      </c>
      <c r="E166" t="s">
        <v>115</v>
      </c>
      <c r="F166" t="s">
        <v>107</v>
      </c>
      <c r="G166">
        <v>70</v>
      </c>
      <c r="H166">
        <v>1.8618599999999999E-2</v>
      </c>
      <c r="I166">
        <v>2.2490400000000001E-2</v>
      </c>
      <c r="J166" s="460">
        <v>6.5208199999999994E-2</v>
      </c>
      <c r="K166" s="1"/>
      <c r="L166" s="1"/>
      <c r="M166" s="1"/>
      <c r="N166" s="2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46" s="18" customFormat="1" x14ac:dyDescent="0.35">
      <c r="A167" s="1"/>
      <c r="B167" s="450" t="s">
        <v>283</v>
      </c>
      <c r="C167" s="461">
        <v>2030</v>
      </c>
      <c r="D167" s="462" t="s">
        <v>284</v>
      </c>
      <c r="E167" s="462" t="s">
        <v>115</v>
      </c>
      <c r="F167" s="462" t="s">
        <v>107</v>
      </c>
      <c r="G167" s="462">
        <v>75</v>
      </c>
      <c r="H167" s="462">
        <v>2.30333E-2</v>
      </c>
      <c r="I167" s="462">
        <v>2.6032599999999999E-2</v>
      </c>
      <c r="J167" s="463">
        <v>6.7366599999999999E-2</v>
      </c>
      <c r="K167" s="1"/>
      <c r="L167" s="1"/>
      <c r="M167" s="1"/>
      <c r="N167" s="2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46" s="18" customFormat="1" ht="15.5" x14ac:dyDescent="0.35">
      <c r="B168" s="273"/>
      <c r="C168" s="273"/>
      <c r="D168" s="273"/>
      <c r="K168" s="194"/>
      <c r="L168" s="194"/>
      <c r="M168" s="194"/>
      <c r="N168" s="222"/>
      <c r="O168" s="194"/>
      <c r="P168" s="194"/>
      <c r="Q168" s="194"/>
      <c r="R168" s="194"/>
      <c r="S168" s="194"/>
      <c r="T168" s="194"/>
      <c r="U168" s="194"/>
      <c r="V168" s="194"/>
      <c r="W168" s="194"/>
      <c r="X168" s="194"/>
    </row>
    <row r="169" spans="1:46" ht="15.5" x14ac:dyDescent="0.35">
      <c r="J169" s="194"/>
      <c r="K169" s="194"/>
      <c r="L169" s="194"/>
      <c r="M169" s="194"/>
      <c r="N169" s="222"/>
      <c r="O169" s="194"/>
      <c r="P169" s="194"/>
      <c r="Q169" s="194"/>
      <c r="R169" s="194"/>
      <c r="S169" s="194"/>
      <c r="T169" s="194"/>
      <c r="U169" s="194"/>
      <c r="V169" s="194"/>
      <c r="W169" s="194"/>
      <c r="X169" s="194"/>
      <c r="Z169" s="18"/>
      <c r="AA169" s="18"/>
      <c r="AB169" s="18"/>
      <c r="AC169" s="18"/>
      <c r="AD169" s="18"/>
      <c r="AE169" s="18"/>
      <c r="AF169" s="18"/>
      <c r="AG169" s="18"/>
      <c r="AH169" s="18"/>
      <c r="AI169" s="18"/>
      <c r="AJ169" s="18"/>
      <c r="AK169" s="18"/>
      <c r="AL169" s="18"/>
      <c r="AM169" s="18"/>
      <c r="AN169" s="18"/>
      <c r="AO169" s="18"/>
      <c r="AP169" s="18"/>
      <c r="AQ169" s="18"/>
      <c r="AR169" s="18"/>
      <c r="AS169" s="18"/>
      <c r="AT169" s="18"/>
    </row>
    <row r="170" spans="1:46" x14ac:dyDescent="0.35">
      <c r="Z170" s="18"/>
      <c r="AA170" s="18"/>
      <c r="AB170" s="18"/>
      <c r="AC170" s="18"/>
      <c r="AD170" s="18"/>
      <c r="AE170" s="18"/>
      <c r="AF170" s="18"/>
      <c r="AG170" s="18"/>
      <c r="AH170" s="18"/>
      <c r="AI170" s="18"/>
      <c r="AJ170" s="18"/>
      <c r="AK170" s="18"/>
      <c r="AL170" s="18"/>
      <c r="AM170" s="18"/>
      <c r="AN170" s="18"/>
      <c r="AO170" s="18"/>
      <c r="AP170" s="18"/>
      <c r="AQ170" s="18"/>
      <c r="AR170" s="18"/>
      <c r="AS170" s="18"/>
      <c r="AT170" s="18"/>
    </row>
    <row r="171" spans="1:46" ht="18.5" x14ac:dyDescent="0.45">
      <c r="A171" s="262" t="s">
        <v>299</v>
      </c>
      <c r="B171" s="271"/>
      <c r="C171" s="271"/>
      <c r="D171" s="271"/>
      <c r="E171" s="194"/>
      <c r="F171" s="194"/>
      <c r="G171" s="194"/>
      <c r="H171" s="194"/>
      <c r="I171" s="194"/>
      <c r="J171" s="194"/>
      <c r="K171" s="194"/>
      <c r="L171" s="194"/>
      <c r="M171" s="262" t="s">
        <v>300</v>
      </c>
      <c r="N171" s="222"/>
      <c r="O171" s="17"/>
      <c r="P171" s="17"/>
      <c r="Q171" s="194"/>
      <c r="R171" s="194"/>
      <c r="S171" s="194"/>
      <c r="T171" s="194"/>
      <c r="U171" s="194"/>
      <c r="V171" s="194"/>
      <c r="W171" s="194"/>
      <c r="Z171" s="18"/>
      <c r="AA171" s="18"/>
      <c r="AB171" s="18"/>
      <c r="AC171" s="18"/>
      <c r="AD171" s="18"/>
      <c r="AE171" s="18"/>
      <c r="AF171" s="18"/>
      <c r="AG171" s="18"/>
      <c r="AH171" s="18"/>
      <c r="AI171" s="18"/>
      <c r="AJ171" s="18"/>
      <c r="AK171" s="18"/>
      <c r="AL171" s="18"/>
      <c r="AM171" s="18"/>
      <c r="AN171" s="18"/>
      <c r="AO171" s="18"/>
      <c r="AP171" s="18"/>
      <c r="AQ171" s="18"/>
      <c r="AR171" s="18"/>
      <c r="AS171" s="18"/>
      <c r="AT171" s="18"/>
    </row>
    <row r="172" spans="1:46" ht="26.5" x14ac:dyDescent="0.35">
      <c r="B172" s="276" t="s">
        <v>278</v>
      </c>
      <c r="C172" s="277" t="s">
        <v>279</v>
      </c>
      <c r="D172" s="272" t="s">
        <v>280</v>
      </c>
      <c r="E172" s="219" t="s">
        <v>281</v>
      </c>
      <c r="F172" s="218" t="s">
        <v>151</v>
      </c>
      <c r="G172" s="218" t="s">
        <v>282</v>
      </c>
      <c r="H172" s="220" t="s">
        <v>105</v>
      </c>
      <c r="I172" s="220" t="s">
        <v>242</v>
      </c>
      <c r="J172" s="221" t="s">
        <v>136</v>
      </c>
      <c r="L172" s="1"/>
      <c r="M172" s="201" t="s">
        <v>278</v>
      </c>
      <c r="N172" s="223" t="s">
        <v>279</v>
      </c>
      <c r="O172" s="223" t="s">
        <v>151</v>
      </c>
      <c r="P172" s="223" t="s">
        <v>281</v>
      </c>
      <c r="Q172" s="220" t="s">
        <v>105</v>
      </c>
      <c r="R172" s="220" t="s">
        <v>242</v>
      </c>
      <c r="S172" s="221" t="s">
        <v>136</v>
      </c>
      <c r="Z172" s="18"/>
      <c r="AA172" s="18"/>
      <c r="AB172" s="18"/>
      <c r="AC172" s="18"/>
      <c r="AD172" s="18"/>
      <c r="AE172" s="18"/>
      <c r="AF172" s="18"/>
      <c r="AG172" s="18"/>
      <c r="AH172" s="18"/>
      <c r="AI172" s="18"/>
      <c r="AJ172" s="18"/>
      <c r="AK172" s="18"/>
      <c r="AL172" s="18"/>
      <c r="AM172" s="18"/>
      <c r="AN172" s="18"/>
      <c r="AO172" s="18"/>
      <c r="AP172" s="18"/>
      <c r="AQ172" s="18"/>
      <c r="AR172" s="18"/>
      <c r="AS172" s="18"/>
      <c r="AT172" s="18"/>
    </row>
    <row r="173" spans="1:46" x14ac:dyDescent="0.35">
      <c r="B173" s="448" t="s">
        <v>283</v>
      </c>
      <c r="C173" s="464">
        <v>2040</v>
      </c>
      <c r="D173" s="441" t="s">
        <v>284</v>
      </c>
      <c r="E173" s="78" t="s">
        <v>106</v>
      </c>
      <c r="F173" s="441" t="s">
        <v>107</v>
      </c>
      <c r="G173" s="441">
        <v>2.5</v>
      </c>
      <c r="H173" s="441">
        <v>1327.33</v>
      </c>
      <c r="I173" s="441">
        <v>2262.5700000000002</v>
      </c>
      <c r="J173" s="442">
        <v>5488.61</v>
      </c>
      <c r="L173" s="1"/>
      <c r="M173" s="77" t="s">
        <v>283</v>
      </c>
      <c r="N173" s="224">
        <v>2040</v>
      </c>
      <c r="O173" s="47" t="s">
        <v>204</v>
      </c>
      <c r="P173" s="78" t="s">
        <v>106</v>
      </c>
      <c r="Q173" s="68">
        <v>2280.92</v>
      </c>
      <c r="R173" s="68">
        <v>3978.79</v>
      </c>
      <c r="S173" s="69">
        <v>6746.7</v>
      </c>
      <c r="Z173" s="18"/>
      <c r="AA173" s="18"/>
      <c r="AB173" s="18"/>
      <c r="AC173" s="18"/>
      <c r="AD173" s="18"/>
      <c r="AE173" s="18"/>
      <c r="AF173" s="18"/>
      <c r="AG173" s="18"/>
      <c r="AH173" s="18"/>
      <c r="AI173" s="18"/>
      <c r="AJ173" s="18"/>
      <c r="AK173" s="18"/>
      <c r="AL173" s="18"/>
      <c r="AM173" s="18"/>
      <c r="AN173" s="18"/>
      <c r="AO173" s="18"/>
      <c r="AP173" s="18"/>
      <c r="AQ173" s="18"/>
      <c r="AR173" s="18"/>
      <c r="AS173" s="18"/>
      <c r="AT173" s="18"/>
    </row>
    <row r="174" spans="1:46" s="18" customFormat="1" x14ac:dyDescent="0.35">
      <c r="A174" s="1"/>
      <c r="B174" s="449" t="s">
        <v>283</v>
      </c>
      <c r="C174" s="465">
        <v>2040</v>
      </c>
      <c r="D174" s="18" t="s">
        <v>284</v>
      </c>
      <c r="E174" s="78" t="s">
        <v>106</v>
      </c>
      <c r="F174" s="18" t="s">
        <v>107</v>
      </c>
      <c r="G174" s="18">
        <v>5</v>
      </c>
      <c r="H174" s="18">
        <v>749.43700000000001</v>
      </c>
      <c r="I174" s="18">
        <v>1306.3599999999999</v>
      </c>
      <c r="J174" s="444">
        <v>3297.97</v>
      </c>
      <c r="K174" s="1"/>
      <c r="L174" s="1"/>
      <c r="M174" s="48" t="s">
        <v>283</v>
      </c>
      <c r="N174" s="224">
        <v>2040</v>
      </c>
      <c r="O174" s="45" t="s">
        <v>204</v>
      </c>
      <c r="P174" s="72" t="s">
        <v>109</v>
      </c>
      <c r="Q174" s="68">
        <v>1.14612</v>
      </c>
      <c r="R174" s="68">
        <v>7.6473699999999996</v>
      </c>
      <c r="S174" s="69">
        <v>18.852900000000002</v>
      </c>
      <c r="T174" s="1"/>
      <c r="U174" s="1"/>
      <c r="V174" s="1"/>
      <c r="W174" s="1"/>
      <c r="X174" s="1"/>
      <c r="Y174" s="1"/>
    </row>
    <row r="175" spans="1:46" s="18" customFormat="1" x14ac:dyDescent="0.35">
      <c r="A175" s="1"/>
      <c r="B175" s="449" t="s">
        <v>283</v>
      </c>
      <c r="C175" s="465">
        <v>2040</v>
      </c>
      <c r="D175" s="18" t="s">
        <v>284</v>
      </c>
      <c r="E175" s="78" t="s">
        <v>106</v>
      </c>
      <c r="F175" s="18" t="s">
        <v>107</v>
      </c>
      <c r="G175" s="18">
        <v>10</v>
      </c>
      <c r="H175" s="18">
        <v>460.48899999999998</v>
      </c>
      <c r="I175" s="18">
        <v>830.25400000000002</v>
      </c>
      <c r="J175" s="444">
        <v>2198.35</v>
      </c>
      <c r="K175" s="1"/>
      <c r="L175" s="1"/>
      <c r="M175" s="48" t="s">
        <v>283</v>
      </c>
      <c r="N175" s="224">
        <v>2040</v>
      </c>
      <c r="O175" s="45" t="s">
        <v>204</v>
      </c>
      <c r="P175" s="72" t="s">
        <v>111</v>
      </c>
      <c r="Q175" s="68">
        <v>9.4847600000000001E-3</v>
      </c>
      <c r="R175" s="68">
        <v>1.6965299999999999E-2</v>
      </c>
      <c r="S175" s="69">
        <v>0.209152</v>
      </c>
      <c r="T175" s="1"/>
      <c r="U175" s="1"/>
      <c r="V175" s="1"/>
      <c r="W175" s="1"/>
      <c r="X175" s="1"/>
      <c r="Y175" s="1"/>
    </row>
    <row r="176" spans="1:46" s="18" customFormat="1" x14ac:dyDescent="0.35">
      <c r="A176" s="1"/>
      <c r="B176" s="449" t="s">
        <v>283</v>
      </c>
      <c r="C176" s="465">
        <v>2040</v>
      </c>
      <c r="D176" s="18" t="s">
        <v>284</v>
      </c>
      <c r="E176" s="78" t="s">
        <v>106</v>
      </c>
      <c r="F176" s="18" t="s">
        <v>107</v>
      </c>
      <c r="G176" s="18">
        <v>20</v>
      </c>
      <c r="H176" s="18">
        <v>314.327</v>
      </c>
      <c r="I176" s="18">
        <v>587.08100000000002</v>
      </c>
      <c r="J176" s="444">
        <v>1769.95</v>
      </c>
      <c r="K176" s="1"/>
      <c r="L176" s="1"/>
      <c r="M176" s="48" t="s">
        <v>283</v>
      </c>
      <c r="N176" s="224">
        <v>2040</v>
      </c>
      <c r="O176" s="45" t="s">
        <v>204</v>
      </c>
      <c r="P176" s="72" t="s">
        <v>285</v>
      </c>
      <c r="Q176" s="68">
        <v>6.9597199999999998E-2</v>
      </c>
      <c r="R176" s="68">
        <v>7.1818799999999996</v>
      </c>
      <c r="S176" s="69">
        <v>47.116599999999998</v>
      </c>
      <c r="T176" s="1"/>
      <c r="U176" s="1"/>
      <c r="V176" s="1"/>
      <c r="W176" s="1"/>
      <c r="X176" s="1"/>
      <c r="Y176" s="1"/>
    </row>
    <row r="177" spans="1:34" s="18" customFormat="1" x14ac:dyDescent="0.35">
      <c r="A177" s="1"/>
      <c r="B177" s="449" t="s">
        <v>283</v>
      </c>
      <c r="C177" s="465">
        <v>2040</v>
      </c>
      <c r="D177" s="18" t="s">
        <v>284</v>
      </c>
      <c r="E177" s="78" t="s">
        <v>106</v>
      </c>
      <c r="F177" s="18" t="s">
        <v>107</v>
      </c>
      <c r="G177" s="18">
        <v>25</v>
      </c>
      <c r="H177" s="18">
        <v>364.173</v>
      </c>
      <c r="I177" s="18">
        <v>674.04</v>
      </c>
      <c r="J177" s="444">
        <v>1956.47</v>
      </c>
      <c r="K177" s="1"/>
      <c r="L177" s="1"/>
      <c r="M177" s="49" t="s">
        <v>283</v>
      </c>
      <c r="N177" s="224">
        <v>2040</v>
      </c>
      <c r="O177" s="50" t="s">
        <v>204</v>
      </c>
      <c r="P177" s="73" t="s">
        <v>115</v>
      </c>
      <c r="Q177" s="70">
        <v>5.0933100000000002E-2</v>
      </c>
      <c r="R177" s="70">
        <v>0.33133499999999999</v>
      </c>
      <c r="S177" s="71">
        <v>1.22278</v>
      </c>
      <c r="T177" s="1"/>
      <c r="U177" s="1"/>
      <c r="V177" s="1"/>
      <c r="W177" s="1"/>
      <c r="X177" s="1"/>
      <c r="Y177" s="1"/>
    </row>
    <row r="178" spans="1:34" s="18" customFormat="1" x14ac:dyDescent="0.35">
      <c r="A178" s="1"/>
      <c r="B178" s="449" t="s">
        <v>283</v>
      </c>
      <c r="C178" s="465">
        <v>2040</v>
      </c>
      <c r="D178" s="18" t="s">
        <v>284</v>
      </c>
      <c r="E178" s="78" t="s">
        <v>106</v>
      </c>
      <c r="F178" s="18" t="s">
        <v>107</v>
      </c>
      <c r="G178" s="18">
        <v>25</v>
      </c>
      <c r="H178" s="18">
        <v>281.02</v>
      </c>
      <c r="I178" s="18">
        <v>521.53599999999994</v>
      </c>
      <c r="J178" s="444">
        <v>1635.82</v>
      </c>
      <c r="K178" s="1"/>
      <c r="L178" s="1"/>
      <c r="M178" s="1"/>
      <c r="N178" s="2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34" s="18" customFormat="1" x14ac:dyDescent="0.35">
      <c r="A179" s="1"/>
      <c r="B179" s="449" t="s">
        <v>283</v>
      </c>
      <c r="C179" s="465">
        <v>2040</v>
      </c>
      <c r="D179" s="18" t="s">
        <v>284</v>
      </c>
      <c r="E179" s="78" t="s">
        <v>106</v>
      </c>
      <c r="F179" s="18" t="s">
        <v>107</v>
      </c>
      <c r="G179" s="18">
        <v>30</v>
      </c>
      <c r="H179" s="18">
        <v>251.255</v>
      </c>
      <c r="I179" s="18">
        <v>487.13600000000002</v>
      </c>
      <c r="J179" s="444">
        <v>1592.55</v>
      </c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</row>
    <row r="180" spans="1:34" s="18" customFormat="1" x14ac:dyDescent="0.35">
      <c r="A180" s="1"/>
      <c r="B180" s="449" t="s">
        <v>283</v>
      </c>
      <c r="C180" s="465">
        <v>2040</v>
      </c>
      <c r="D180" s="18" t="s">
        <v>284</v>
      </c>
      <c r="E180" s="78" t="s">
        <v>106</v>
      </c>
      <c r="F180" s="18" t="s">
        <v>107</v>
      </c>
      <c r="G180" s="18">
        <v>35</v>
      </c>
      <c r="H180" s="18">
        <v>238.08</v>
      </c>
      <c r="I180" s="18">
        <v>440.76499999999999</v>
      </c>
      <c r="J180" s="444">
        <v>1366.57</v>
      </c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</row>
    <row r="181" spans="1:34" s="18" customFormat="1" ht="15" customHeight="1" x14ac:dyDescent="0.35">
      <c r="A181" s="1"/>
      <c r="B181" s="449" t="s">
        <v>283</v>
      </c>
      <c r="C181" s="465">
        <v>2040</v>
      </c>
      <c r="D181" s="18" t="s">
        <v>284</v>
      </c>
      <c r="E181" s="78" t="s">
        <v>106</v>
      </c>
      <c r="F181" s="18" t="s">
        <v>107</v>
      </c>
      <c r="G181" s="18">
        <v>40</v>
      </c>
      <c r="H181" s="18">
        <v>230.14</v>
      </c>
      <c r="I181" s="18">
        <v>426.214</v>
      </c>
      <c r="J181" s="444">
        <v>1334.84</v>
      </c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</row>
    <row r="182" spans="1:34" s="18" customFormat="1" x14ac:dyDescent="0.35">
      <c r="A182" s="1"/>
      <c r="B182" s="449" t="s">
        <v>283</v>
      </c>
      <c r="C182" s="465">
        <v>2040</v>
      </c>
      <c r="D182" s="18" t="s">
        <v>284</v>
      </c>
      <c r="E182" s="78" t="s">
        <v>106</v>
      </c>
      <c r="F182" s="18" t="s">
        <v>107</v>
      </c>
      <c r="G182" s="18">
        <v>45</v>
      </c>
      <c r="H182" s="18">
        <v>224.21</v>
      </c>
      <c r="I182" s="18">
        <v>415.02499999999998</v>
      </c>
      <c r="J182" s="444">
        <v>1310.17</v>
      </c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</row>
    <row r="183" spans="1:34" s="18" customFormat="1" x14ac:dyDescent="0.35">
      <c r="A183" s="1"/>
      <c r="B183" s="449" t="s">
        <v>283</v>
      </c>
      <c r="C183" s="465">
        <v>2040</v>
      </c>
      <c r="D183" s="18" t="s">
        <v>284</v>
      </c>
      <c r="E183" s="78" t="s">
        <v>106</v>
      </c>
      <c r="F183" s="18" t="s">
        <v>107</v>
      </c>
      <c r="G183" s="18">
        <v>50</v>
      </c>
      <c r="H183" s="18">
        <v>219.88200000000001</v>
      </c>
      <c r="I183" s="18">
        <v>407.959</v>
      </c>
      <c r="J183" s="444">
        <v>1237.51</v>
      </c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</row>
    <row r="184" spans="1:34" s="18" customFormat="1" x14ac:dyDescent="0.35">
      <c r="A184" s="1"/>
      <c r="B184" s="449" t="s">
        <v>283</v>
      </c>
      <c r="C184" s="465">
        <v>2040</v>
      </c>
      <c r="D184" s="18" t="s">
        <v>284</v>
      </c>
      <c r="E184" s="78" t="s">
        <v>106</v>
      </c>
      <c r="F184" s="18" t="s">
        <v>107</v>
      </c>
      <c r="G184" s="18">
        <v>55</v>
      </c>
      <c r="H184" s="18">
        <v>217.82499999999999</v>
      </c>
      <c r="I184" s="18">
        <v>403.786</v>
      </c>
      <c r="J184" s="444">
        <v>1157.48</v>
      </c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</row>
    <row r="185" spans="1:34" s="18" customFormat="1" x14ac:dyDescent="0.35">
      <c r="A185" s="1"/>
      <c r="B185" s="449" t="s">
        <v>283</v>
      </c>
      <c r="C185" s="465">
        <v>2040</v>
      </c>
      <c r="D185" s="18" t="s">
        <v>284</v>
      </c>
      <c r="E185" s="78" t="s">
        <v>106</v>
      </c>
      <c r="F185" s="18" t="s">
        <v>107</v>
      </c>
      <c r="G185" s="18">
        <v>60</v>
      </c>
      <c r="H185" s="18">
        <v>217.87700000000001</v>
      </c>
      <c r="I185" s="18">
        <v>394.93799999999999</v>
      </c>
      <c r="J185" s="444">
        <v>1165.6400000000001</v>
      </c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</row>
    <row r="186" spans="1:34" s="18" customFormat="1" x14ac:dyDescent="0.35">
      <c r="A186" s="1"/>
      <c r="B186" s="449" t="s">
        <v>283</v>
      </c>
      <c r="C186" s="465">
        <v>2040</v>
      </c>
      <c r="D186" s="18" t="s">
        <v>284</v>
      </c>
      <c r="E186" s="78" t="s">
        <v>106</v>
      </c>
      <c r="F186" s="18" t="s">
        <v>107</v>
      </c>
      <c r="G186" s="18">
        <v>65</v>
      </c>
      <c r="H186" s="18">
        <v>220.22399999999999</v>
      </c>
      <c r="I186" s="18">
        <v>403.59300000000002</v>
      </c>
      <c r="J186" s="444">
        <v>1215</v>
      </c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</row>
    <row r="187" spans="1:34" s="18" customFormat="1" x14ac:dyDescent="0.35">
      <c r="A187" s="1"/>
      <c r="B187" s="449" t="s">
        <v>283</v>
      </c>
      <c r="C187" s="465">
        <v>2040</v>
      </c>
      <c r="D187" s="18" t="s">
        <v>284</v>
      </c>
      <c r="E187" s="78" t="s">
        <v>106</v>
      </c>
      <c r="F187" s="18" t="s">
        <v>107</v>
      </c>
      <c r="G187" s="18">
        <v>70</v>
      </c>
      <c r="H187" s="18">
        <v>228.077</v>
      </c>
      <c r="I187" s="18">
        <v>416.64100000000002</v>
      </c>
      <c r="J187" s="444">
        <v>1257.31</v>
      </c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</row>
    <row r="188" spans="1:34" s="18" customFormat="1" x14ac:dyDescent="0.35">
      <c r="A188" s="1"/>
      <c r="B188" s="450" t="s">
        <v>283</v>
      </c>
      <c r="C188" s="466">
        <v>2040</v>
      </c>
      <c r="D188" s="446" t="s">
        <v>284</v>
      </c>
      <c r="E188" s="78" t="s">
        <v>106</v>
      </c>
      <c r="F188" s="446" t="s">
        <v>107</v>
      </c>
      <c r="G188" s="446">
        <v>75</v>
      </c>
      <c r="H188" s="446">
        <v>241.09299999999999</v>
      </c>
      <c r="I188" s="446">
        <v>434.95600000000002</v>
      </c>
      <c r="J188" s="447">
        <v>1307.8699999999999</v>
      </c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</row>
    <row r="189" spans="1:34" s="18" customFormat="1" x14ac:dyDescent="0.35">
      <c r="A189" s="1"/>
      <c r="B189" s="448" t="s">
        <v>283</v>
      </c>
      <c r="C189" s="464">
        <v>2040</v>
      </c>
      <c r="D189" s="441" t="s">
        <v>295</v>
      </c>
      <c r="E189" s="441" t="s">
        <v>109</v>
      </c>
      <c r="F189" s="441" t="s">
        <v>107</v>
      </c>
      <c r="G189" s="441">
        <v>2.5</v>
      </c>
      <c r="H189" s="441">
        <v>3.4969999999999999</v>
      </c>
      <c r="I189" s="441">
        <v>5.1059400000000004</v>
      </c>
      <c r="J189" s="442">
        <v>15.57</v>
      </c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</row>
    <row r="190" spans="1:34" s="18" customFormat="1" x14ac:dyDescent="0.35">
      <c r="A190" s="1"/>
      <c r="B190" s="449" t="s">
        <v>283</v>
      </c>
      <c r="C190" s="465">
        <v>2040</v>
      </c>
      <c r="D190" s="18" t="s">
        <v>295</v>
      </c>
      <c r="E190" s="18" t="s">
        <v>109</v>
      </c>
      <c r="F190" s="18" t="s">
        <v>107</v>
      </c>
      <c r="G190" s="18">
        <v>5</v>
      </c>
      <c r="H190" s="18">
        <v>2.30382</v>
      </c>
      <c r="I190" s="18">
        <v>3.2085599999999999</v>
      </c>
      <c r="J190" s="444">
        <v>9.9540699999999998</v>
      </c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</row>
    <row r="191" spans="1:34" s="18" customFormat="1" x14ac:dyDescent="0.35">
      <c r="A191" s="1"/>
      <c r="B191" s="449" t="s">
        <v>283</v>
      </c>
      <c r="C191" s="465">
        <v>2040</v>
      </c>
      <c r="D191" s="18" t="s">
        <v>295</v>
      </c>
      <c r="E191" s="18" t="s">
        <v>109</v>
      </c>
      <c r="F191" s="18" t="s">
        <v>107</v>
      </c>
      <c r="G191" s="18">
        <v>10</v>
      </c>
      <c r="H191" s="18">
        <v>1.7072400000000001</v>
      </c>
      <c r="I191" s="18">
        <v>2.22254</v>
      </c>
      <c r="J191" s="444">
        <v>6.7376899999999997</v>
      </c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</row>
    <row r="192" spans="1:34" s="18" customFormat="1" x14ac:dyDescent="0.35">
      <c r="A192" s="1"/>
      <c r="B192" s="449" t="s">
        <v>283</v>
      </c>
      <c r="C192" s="465">
        <v>2040</v>
      </c>
      <c r="D192" s="18" t="s">
        <v>295</v>
      </c>
      <c r="E192" s="18" t="s">
        <v>109</v>
      </c>
      <c r="F192" s="18" t="s">
        <v>107</v>
      </c>
      <c r="G192" s="18">
        <v>20</v>
      </c>
      <c r="H192" s="18">
        <v>1.3438399999999999</v>
      </c>
      <c r="I192" s="18">
        <v>1.5831599999999999</v>
      </c>
      <c r="J192" s="444">
        <v>4.1920000000000002</v>
      </c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</row>
    <row r="193" spans="1:33" s="18" customFormat="1" x14ac:dyDescent="0.35">
      <c r="A193" s="1"/>
      <c r="B193" s="449" t="s">
        <v>283</v>
      </c>
      <c r="C193" s="465">
        <v>2040</v>
      </c>
      <c r="D193" s="18" t="s">
        <v>295</v>
      </c>
      <c r="E193" s="18" t="s">
        <v>109</v>
      </c>
      <c r="F193" s="18" t="s">
        <v>107</v>
      </c>
      <c r="G193" s="18">
        <v>25</v>
      </c>
      <c r="H193" s="18">
        <v>1.50837</v>
      </c>
      <c r="I193" s="18">
        <v>1.84874</v>
      </c>
      <c r="J193" s="444">
        <v>5.4222400000000004</v>
      </c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</row>
    <row r="194" spans="1:33" s="18" customFormat="1" x14ac:dyDescent="0.35">
      <c r="A194" s="1"/>
      <c r="B194" s="449" t="s">
        <v>283</v>
      </c>
      <c r="C194" s="465">
        <v>2040</v>
      </c>
      <c r="D194" s="18" t="s">
        <v>295</v>
      </c>
      <c r="E194" s="18" t="s">
        <v>109</v>
      </c>
      <c r="F194" s="18" t="s">
        <v>107</v>
      </c>
      <c r="G194" s="18">
        <v>25</v>
      </c>
      <c r="H194" s="18">
        <v>1.11405</v>
      </c>
      <c r="I194" s="18">
        <v>1.3143899999999999</v>
      </c>
      <c r="J194" s="444">
        <v>3.6140699999999999</v>
      </c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</row>
    <row r="195" spans="1:33" s="18" customFormat="1" x14ac:dyDescent="0.35">
      <c r="A195" s="1"/>
      <c r="B195" s="449" t="s">
        <v>283</v>
      </c>
      <c r="C195" s="465">
        <v>2040</v>
      </c>
      <c r="D195" s="18" t="s">
        <v>295</v>
      </c>
      <c r="E195" s="18" t="s">
        <v>109</v>
      </c>
      <c r="F195" s="18" t="s">
        <v>107</v>
      </c>
      <c r="G195" s="18">
        <v>30</v>
      </c>
      <c r="H195" s="18">
        <v>1.0645199999999999</v>
      </c>
      <c r="I195" s="18">
        <v>1.2930999999999999</v>
      </c>
      <c r="J195" s="444">
        <v>3.1432699999999998</v>
      </c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</row>
    <row r="196" spans="1:33" s="18" customFormat="1" x14ac:dyDescent="0.35">
      <c r="A196" s="1"/>
      <c r="B196" s="449" t="s">
        <v>283</v>
      </c>
      <c r="C196" s="465">
        <v>2040</v>
      </c>
      <c r="D196" s="18" t="s">
        <v>295</v>
      </c>
      <c r="E196" s="18" t="s">
        <v>109</v>
      </c>
      <c r="F196" s="18" t="s">
        <v>107</v>
      </c>
      <c r="G196" s="18">
        <v>35</v>
      </c>
      <c r="H196" s="18">
        <v>0.96630300000000002</v>
      </c>
      <c r="I196" s="18">
        <v>1.2113700000000001</v>
      </c>
      <c r="J196" s="444">
        <v>2.4954299999999998</v>
      </c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</row>
    <row r="197" spans="1:33" s="18" customFormat="1" x14ac:dyDescent="0.35">
      <c r="A197" s="1"/>
      <c r="B197" s="449" t="s">
        <v>283</v>
      </c>
      <c r="C197" s="465">
        <v>2040</v>
      </c>
      <c r="D197" s="18" t="s">
        <v>295</v>
      </c>
      <c r="E197" s="18" t="s">
        <v>109</v>
      </c>
      <c r="F197" s="18" t="s">
        <v>107</v>
      </c>
      <c r="G197" s="18">
        <v>40</v>
      </c>
      <c r="H197" s="18">
        <v>0.87685000000000002</v>
      </c>
      <c r="I197" s="18">
        <v>1.1654199999999999</v>
      </c>
      <c r="J197" s="444">
        <v>2.1877900000000001</v>
      </c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</row>
    <row r="198" spans="1:33" s="18" customFormat="1" x14ac:dyDescent="0.35">
      <c r="A198" s="1"/>
      <c r="B198" s="449" t="s">
        <v>283</v>
      </c>
      <c r="C198" s="465">
        <v>2040</v>
      </c>
      <c r="D198" s="18" t="s">
        <v>295</v>
      </c>
      <c r="E198" s="18" t="s">
        <v>109</v>
      </c>
      <c r="F198" s="18" t="s">
        <v>107</v>
      </c>
      <c r="G198" s="18">
        <v>45</v>
      </c>
      <c r="H198" s="18">
        <v>0.82130800000000004</v>
      </c>
      <c r="I198" s="18">
        <v>1.1363700000000001</v>
      </c>
      <c r="J198" s="444">
        <v>1.9484999999999999</v>
      </c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</row>
    <row r="199" spans="1:33" s="18" customFormat="1" x14ac:dyDescent="0.35">
      <c r="A199" s="1"/>
      <c r="B199" s="449" t="s">
        <v>283</v>
      </c>
      <c r="C199" s="465">
        <v>2040</v>
      </c>
      <c r="D199" s="18" t="s">
        <v>295</v>
      </c>
      <c r="E199" s="18" t="s">
        <v>109</v>
      </c>
      <c r="F199" s="18" t="s">
        <v>107</v>
      </c>
      <c r="G199" s="18">
        <v>50</v>
      </c>
      <c r="H199" s="18">
        <v>0.80066300000000001</v>
      </c>
      <c r="I199" s="18">
        <v>1.1278300000000001</v>
      </c>
      <c r="J199" s="444">
        <v>1.70329</v>
      </c>
      <c r="K199" s="1"/>
      <c r="L199" s="1"/>
      <c r="S199" s="1"/>
      <c r="T199" s="1"/>
      <c r="U199" s="1"/>
      <c r="V199" s="1"/>
      <c r="W199" s="1"/>
      <c r="X199" s="1"/>
      <c r="Y199" s="1"/>
    </row>
    <row r="200" spans="1:33" s="18" customFormat="1" x14ac:dyDescent="0.35">
      <c r="A200" s="1"/>
      <c r="B200" s="449" t="s">
        <v>283</v>
      </c>
      <c r="C200" s="465">
        <v>2040</v>
      </c>
      <c r="D200" s="18" t="s">
        <v>295</v>
      </c>
      <c r="E200" s="18" t="s">
        <v>109</v>
      </c>
      <c r="F200" s="18" t="s">
        <v>107</v>
      </c>
      <c r="G200" s="18">
        <v>55</v>
      </c>
      <c r="H200" s="18">
        <v>0.80328500000000003</v>
      </c>
      <c r="I200" s="18">
        <v>1.1375599999999999</v>
      </c>
      <c r="J200" s="444">
        <v>1.4880199999999999</v>
      </c>
      <c r="K200" s="1"/>
      <c r="L200" s="1"/>
      <c r="S200" s="1"/>
      <c r="T200" s="1"/>
      <c r="U200" s="1"/>
      <c r="V200" s="1"/>
      <c r="W200" s="1"/>
      <c r="X200" s="1"/>
      <c r="Y200" s="1"/>
    </row>
    <row r="201" spans="1:33" s="18" customFormat="1" x14ac:dyDescent="0.35">
      <c r="A201" s="1"/>
      <c r="B201" s="449" t="s">
        <v>283</v>
      </c>
      <c r="C201" s="465">
        <v>2040</v>
      </c>
      <c r="D201" s="18" t="s">
        <v>295</v>
      </c>
      <c r="E201" s="18" t="s">
        <v>109</v>
      </c>
      <c r="F201" s="18" t="s">
        <v>107</v>
      </c>
      <c r="G201" s="18">
        <v>60</v>
      </c>
      <c r="H201" s="18">
        <v>0.82872800000000002</v>
      </c>
      <c r="I201" s="18">
        <v>1.16265</v>
      </c>
      <c r="J201" s="444">
        <v>1.4164399999999999</v>
      </c>
      <c r="K201" s="1"/>
      <c r="L201" s="1"/>
      <c r="S201" s="1"/>
      <c r="T201" s="1"/>
      <c r="U201" s="1"/>
      <c r="V201" s="1"/>
      <c r="W201" s="1"/>
      <c r="X201" s="1"/>
      <c r="Y201" s="1"/>
    </row>
    <row r="202" spans="1:33" s="18" customFormat="1" x14ac:dyDescent="0.35">
      <c r="A202" s="1"/>
      <c r="B202" s="449" t="s">
        <v>283</v>
      </c>
      <c r="C202" s="465">
        <v>2040</v>
      </c>
      <c r="D202" s="18" t="s">
        <v>295</v>
      </c>
      <c r="E202" s="18" t="s">
        <v>109</v>
      </c>
      <c r="F202" s="18" t="s">
        <v>107</v>
      </c>
      <c r="G202" s="18">
        <v>65</v>
      </c>
      <c r="H202" s="18">
        <v>0.88522500000000004</v>
      </c>
      <c r="I202" s="18">
        <v>1.30881</v>
      </c>
      <c r="J202" s="444">
        <v>1.40872</v>
      </c>
      <c r="K202" s="1"/>
      <c r="L202" s="1"/>
      <c r="S202" s="1"/>
      <c r="T202" s="1"/>
      <c r="U202" s="1"/>
      <c r="V202" s="1"/>
      <c r="W202" s="1"/>
      <c r="X202" s="1"/>
      <c r="Y202" s="1"/>
    </row>
    <row r="203" spans="1:33" s="18" customFormat="1" x14ac:dyDescent="0.35">
      <c r="A203" s="1"/>
      <c r="B203" s="449" t="s">
        <v>283</v>
      </c>
      <c r="C203" s="465">
        <v>2040</v>
      </c>
      <c r="D203" s="18" t="s">
        <v>295</v>
      </c>
      <c r="E203" s="18" t="s">
        <v>109</v>
      </c>
      <c r="F203" s="18" t="s">
        <v>107</v>
      </c>
      <c r="G203" s="18">
        <v>70</v>
      </c>
      <c r="H203" s="18">
        <v>1.02234</v>
      </c>
      <c r="I203" s="18">
        <v>1.5063299999999999</v>
      </c>
      <c r="J203" s="444">
        <v>1.4020999999999999</v>
      </c>
      <c r="K203" s="1"/>
      <c r="L203" s="1"/>
      <c r="S203" s="1"/>
      <c r="T203" s="1"/>
      <c r="U203" s="1"/>
      <c r="V203" s="1"/>
      <c r="W203" s="1"/>
      <c r="X203" s="1"/>
      <c r="Y203" s="1"/>
    </row>
    <row r="204" spans="1:33" s="18" customFormat="1" x14ac:dyDescent="0.35">
      <c r="A204" s="1"/>
      <c r="B204" s="450" t="s">
        <v>283</v>
      </c>
      <c r="C204" s="466">
        <v>2040</v>
      </c>
      <c r="D204" s="446" t="s">
        <v>295</v>
      </c>
      <c r="E204" s="446" t="s">
        <v>109</v>
      </c>
      <c r="F204" s="446" t="s">
        <v>107</v>
      </c>
      <c r="G204" s="446">
        <v>75</v>
      </c>
      <c r="H204" s="446">
        <v>1.34619</v>
      </c>
      <c r="I204" s="446">
        <v>1.85971</v>
      </c>
      <c r="J204" s="447">
        <v>1.4077599999999999</v>
      </c>
      <c r="K204" s="1"/>
      <c r="L204" s="1"/>
      <c r="S204" s="1"/>
      <c r="T204" s="1"/>
      <c r="U204" s="1"/>
      <c r="V204" s="1"/>
      <c r="W204" s="1"/>
      <c r="X204" s="1"/>
      <c r="Y204" s="1"/>
    </row>
    <row r="205" spans="1:33" s="18" customFormat="1" x14ac:dyDescent="0.35">
      <c r="A205" s="1"/>
      <c r="B205" s="448" t="s">
        <v>283</v>
      </c>
      <c r="C205" s="464">
        <v>2040</v>
      </c>
      <c r="D205" s="441" t="s">
        <v>295</v>
      </c>
      <c r="E205" s="441" t="s">
        <v>111</v>
      </c>
      <c r="F205" s="441" t="s">
        <v>107</v>
      </c>
      <c r="G205" s="441">
        <v>2.5</v>
      </c>
      <c r="H205" s="441">
        <v>4.2544000000000002E-3</v>
      </c>
      <c r="I205" s="441">
        <v>1.09929E-2</v>
      </c>
      <c r="J205" s="442">
        <v>0.14169000000000001</v>
      </c>
      <c r="K205" s="1"/>
      <c r="L205" s="1"/>
      <c r="M205" s="1"/>
      <c r="N205" s="2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1:33" s="18" customFormat="1" x14ac:dyDescent="0.35">
      <c r="A206" s="1"/>
      <c r="B206" s="449" t="s">
        <v>283</v>
      </c>
      <c r="C206" s="465">
        <v>2040</v>
      </c>
      <c r="D206" s="18" t="s">
        <v>295</v>
      </c>
      <c r="E206" s="18" t="s">
        <v>111</v>
      </c>
      <c r="F206" s="18" t="s">
        <v>107</v>
      </c>
      <c r="G206" s="18">
        <v>5</v>
      </c>
      <c r="H206" s="18">
        <v>2.65293E-3</v>
      </c>
      <c r="I206" s="18">
        <v>7.4245999999999999E-3</v>
      </c>
      <c r="J206" s="444">
        <v>8.0295500000000006E-2</v>
      </c>
      <c r="K206" s="1"/>
      <c r="L206" s="1"/>
      <c r="M206" s="1"/>
      <c r="N206" s="2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1:33" s="18" customFormat="1" x14ac:dyDescent="0.35">
      <c r="A207" s="1"/>
      <c r="B207" s="449" t="s">
        <v>283</v>
      </c>
      <c r="C207" s="465">
        <v>2040</v>
      </c>
      <c r="D207" s="18" t="s">
        <v>295</v>
      </c>
      <c r="E207" s="18" t="s">
        <v>111</v>
      </c>
      <c r="F207" s="18" t="s">
        <v>107</v>
      </c>
      <c r="G207" s="18">
        <v>10</v>
      </c>
      <c r="H207" s="18">
        <v>1.8521900000000001E-3</v>
      </c>
      <c r="I207" s="18">
        <v>5.4349799999999998E-3</v>
      </c>
      <c r="J207" s="444">
        <v>5.2859200000000002E-2</v>
      </c>
      <c r="K207" s="1"/>
      <c r="L207" s="1"/>
      <c r="M207" s="1"/>
      <c r="N207" s="2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1:33" s="18" customFormat="1" x14ac:dyDescent="0.35">
      <c r="A208" s="1"/>
      <c r="B208" s="449" t="s">
        <v>283</v>
      </c>
      <c r="C208" s="465">
        <v>2040</v>
      </c>
      <c r="D208" s="18" t="s">
        <v>295</v>
      </c>
      <c r="E208" s="18" t="s">
        <v>111</v>
      </c>
      <c r="F208" s="18" t="s">
        <v>107</v>
      </c>
      <c r="G208" s="18">
        <v>20</v>
      </c>
      <c r="H208" s="18">
        <v>1.40128E-3</v>
      </c>
      <c r="I208" s="18">
        <v>3.8986400000000001E-3</v>
      </c>
      <c r="J208" s="444">
        <v>4.1723499999999997E-2</v>
      </c>
      <c r="K208" s="1"/>
      <c r="L208" s="1"/>
      <c r="M208" s="1"/>
      <c r="N208" s="2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1:25" s="18" customFormat="1" x14ac:dyDescent="0.35">
      <c r="A209" s="1"/>
      <c r="B209" s="449" t="s">
        <v>283</v>
      </c>
      <c r="C209" s="465">
        <v>2040</v>
      </c>
      <c r="D209" s="18" t="s">
        <v>295</v>
      </c>
      <c r="E209" s="18" t="s">
        <v>111</v>
      </c>
      <c r="F209" s="18" t="s">
        <v>107</v>
      </c>
      <c r="G209" s="18">
        <v>25</v>
      </c>
      <c r="H209" s="18">
        <v>1.5852799999999999E-3</v>
      </c>
      <c r="I209" s="18">
        <v>4.46562E-3</v>
      </c>
      <c r="J209" s="444">
        <v>4.8003200000000003E-2</v>
      </c>
      <c r="K209" s="1"/>
      <c r="L209" s="1"/>
      <c r="M209" s="1"/>
      <c r="N209" s="2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1:25" s="18" customFormat="1" x14ac:dyDescent="0.35">
      <c r="A210" s="1"/>
      <c r="B210" s="449" t="s">
        <v>283</v>
      </c>
      <c r="C210" s="465">
        <v>2040</v>
      </c>
      <c r="D210" s="18" t="s">
        <v>295</v>
      </c>
      <c r="E210" s="18" t="s">
        <v>111</v>
      </c>
      <c r="F210" s="18" t="s">
        <v>107</v>
      </c>
      <c r="G210" s="18">
        <v>25</v>
      </c>
      <c r="H210" s="18">
        <v>1.1891200000000001E-3</v>
      </c>
      <c r="I210" s="18">
        <v>3.2695699999999999E-3</v>
      </c>
      <c r="J210" s="444">
        <v>3.8769900000000003E-2</v>
      </c>
      <c r="K210" s="1"/>
      <c r="L210" s="1"/>
      <c r="M210" s="1"/>
      <c r="N210" s="2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1:25" s="18" customFormat="1" x14ac:dyDescent="0.35">
      <c r="A211" s="1"/>
      <c r="B211" s="449" t="s">
        <v>283</v>
      </c>
      <c r="C211" s="465">
        <v>2040</v>
      </c>
      <c r="D211" s="18" t="s">
        <v>295</v>
      </c>
      <c r="E211" s="18" t="s">
        <v>111</v>
      </c>
      <c r="F211" s="18" t="s">
        <v>107</v>
      </c>
      <c r="G211" s="18">
        <v>30</v>
      </c>
      <c r="H211" s="18">
        <v>1.0800300000000001E-3</v>
      </c>
      <c r="I211" s="18">
        <v>3.20945E-3</v>
      </c>
      <c r="J211" s="444">
        <v>3.6569999999999998E-2</v>
      </c>
      <c r="K211" s="1"/>
      <c r="L211" s="1"/>
      <c r="M211" s="1"/>
      <c r="N211" s="2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1:25" s="18" customFormat="1" x14ac:dyDescent="0.35">
      <c r="A212" s="1"/>
      <c r="B212" s="449" t="s">
        <v>283</v>
      </c>
      <c r="C212" s="465">
        <v>2040</v>
      </c>
      <c r="D212" s="18" t="s">
        <v>295</v>
      </c>
      <c r="E212" s="18" t="s">
        <v>111</v>
      </c>
      <c r="F212" s="18" t="s">
        <v>107</v>
      </c>
      <c r="G212" s="18">
        <v>35</v>
      </c>
      <c r="H212" s="18">
        <v>1.0138199999999999E-3</v>
      </c>
      <c r="I212" s="18">
        <v>2.5911200000000001E-3</v>
      </c>
      <c r="J212" s="444">
        <v>2.7496900000000001E-2</v>
      </c>
      <c r="K212" s="1"/>
      <c r="L212" s="1"/>
      <c r="M212" s="1"/>
      <c r="N212" s="2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1:25" s="18" customFormat="1" x14ac:dyDescent="0.35">
      <c r="A213" s="1"/>
      <c r="B213" s="449" t="s">
        <v>283</v>
      </c>
      <c r="C213" s="465">
        <v>2040</v>
      </c>
      <c r="D213" s="18" t="s">
        <v>295</v>
      </c>
      <c r="E213" s="18" t="s">
        <v>111</v>
      </c>
      <c r="F213" s="18" t="s">
        <v>107</v>
      </c>
      <c r="G213" s="18">
        <v>40</v>
      </c>
      <c r="H213" s="18">
        <v>9.6629099999999998E-4</v>
      </c>
      <c r="I213" s="18">
        <v>2.3617400000000002E-3</v>
      </c>
      <c r="J213" s="444">
        <v>2.52597E-2</v>
      </c>
      <c r="K213" s="1"/>
      <c r="L213" s="1"/>
      <c r="M213" s="1"/>
      <c r="N213" s="2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1:25" s="18" customFormat="1" x14ac:dyDescent="0.35">
      <c r="A214" s="1"/>
      <c r="B214" s="449" t="s">
        <v>283</v>
      </c>
      <c r="C214" s="465">
        <v>2040</v>
      </c>
      <c r="D214" s="18" t="s">
        <v>295</v>
      </c>
      <c r="E214" s="18" t="s">
        <v>111</v>
      </c>
      <c r="F214" s="18" t="s">
        <v>107</v>
      </c>
      <c r="G214" s="18">
        <v>45</v>
      </c>
      <c r="H214" s="18">
        <v>9.4141400000000001E-4</v>
      </c>
      <c r="I214" s="18">
        <v>2.1965800000000001E-3</v>
      </c>
      <c r="J214" s="444">
        <v>2.3519700000000001E-2</v>
      </c>
      <c r="K214" s="1"/>
      <c r="L214" s="1"/>
      <c r="M214" s="1"/>
      <c r="N214" s="2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:25" s="18" customFormat="1" x14ac:dyDescent="0.35">
      <c r="A215" s="1"/>
      <c r="B215" s="449" t="s">
        <v>283</v>
      </c>
      <c r="C215" s="465">
        <v>2040</v>
      </c>
      <c r="D215" s="18" t="s">
        <v>295</v>
      </c>
      <c r="E215" s="18" t="s">
        <v>111</v>
      </c>
      <c r="F215" s="18" t="s">
        <v>107</v>
      </c>
      <c r="G215" s="18">
        <v>50</v>
      </c>
      <c r="H215" s="18">
        <v>9.4200900000000005E-4</v>
      </c>
      <c r="I215" s="18">
        <v>2.1054899999999998E-3</v>
      </c>
      <c r="J215" s="444">
        <v>2.0374E-2</v>
      </c>
      <c r="K215" s="1"/>
      <c r="L215" s="1"/>
      <c r="M215" s="1"/>
      <c r="N215" s="2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1:25" s="18" customFormat="1" x14ac:dyDescent="0.35">
      <c r="A216" s="1"/>
      <c r="B216" s="449" t="s">
        <v>283</v>
      </c>
      <c r="C216" s="465">
        <v>2040</v>
      </c>
      <c r="D216" s="18" t="s">
        <v>295</v>
      </c>
      <c r="E216" s="18" t="s">
        <v>111</v>
      </c>
      <c r="F216" s="18" t="s">
        <v>107</v>
      </c>
      <c r="G216" s="18">
        <v>55</v>
      </c>
      <c r="H216" s="18">
        <v>9.4923700000000002E-4</v>
      </c>
      <c r="I216" s="18">
        <v>2.0395000000000001E-3</v>
      </c>
      <c r="J216" s="444">
        <v>1.6928599999999999E-2</v>
      </c>
      <c r="K216" s="1"/>
      <c r="L216" s="1"/>
      <c r="M216" s="1"/>
      <c r="N216" s="2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1:25" s="18" customFormat="1" x14ac:dyDescent="0.35">
      <c r="A217" s="1"/>
      <c r="B217" s="449" t="s">
        <v>283</v>
      </c>
      <c r="C217" s="465">
        <v>2040</v>
      </c>
      <c r="D217" s="18" t="s">
        <v>295</v>
      </c>
      <c r="E217" s="18" t="s">
        <v>111</v>
      </c>
      <c r="F217" s="18" t="s">
        <v>107</v>
      </c>
      <c r="G217" s="18">
        <v>60</v>
      </c>
      <c r="H217" s="18">
        <v>9.6329599999999999E-4</v>
      </c>
      <c r="I217" s="18">
        <v>1.9692300000000002E-3</v>
      </c>
      <c r="J217" s="444">
        <v>1.5669200000000001E-2</v>
      </c>
      <c r="K217" s="1"/>
      <c r="L217" s="1"/>
      <c r="M217" s="1"/>
      <c r="N217" s="2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1:25" s="18" customFormat="1" x14ac:dyDescent="0.35">
      <c r="A218" s="1"/>
      <c r="B218" s="449" t="s">
        <v>283</v>
      </c>
      <c r="C218" s="465">
        <v>2040</v>
      </c>
      <c r="D218" s="18" t="s">
        <v>295</v>
      </c>
      <c r="E218" s="18" t="s">
        <v>111</v>
      </c>
      <c r="F218" s="18" t="s">
        <v>107</v>
      </c>
      <c r="G218" s="18">
        <v>65</v>
      </c>
      <c r="H218" s="18">
        <v>9.9640100000000006E-4</v>
      </c>
      <c r="I218" s="18">
        <v>2.06448E-3</v>
      </c>
      <c r="J218" s="444">
        <v>1.6298799999999999E-2</v>
      </c>
      <c r="K218" s="1"/>
      <c r="L218" s="1"/>
      <c r="M218" s="1"/>
      <c r="N218" s="2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1:25" s="18" customFormat="1" x14ac:dyDescent="0.35">
      <c r="A219" s="1"/>
      <c r="B219" s="449" t="s">
        <v>283</v>
      </c>
      <c r="C219" s="465">
        <v>2040</v>
      </c>
      <c r="D219" s="18" t="s">
        <v>295</v>
      </c>
      <c r="E219" s="18" t="s">
        <v>111</v>
      </c>
      <c r="F219" s="18" t="s">
        <v>107</v>
      </c>
      <c r="G219" s="18">
        <v>70</v>
      </c>
      <c r="H219" s="18">
        <v>1.07857E-3</v>
      </c>
      <c r="I219" s="18">
        <v>2.1882099999999999E-3</v>
      </c>
      <c r="J219" s="444">
        <v>1.6838599999999999E-2</v>
      </c>
      <c r="K219" s="1"/>
      <c r="L219" s="1"/>
      <c r="M219" s="1"/>
      <c r="N219" s="2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1:25" s="18" customFormat="1" x14ac:dyDescent="0.35">
      <c r="A220" s="1"/>
      <c r="B220" s="450" t="s">
        <v>283</v>
      </c>
      <c r="C220" s="466">
        <v>2040</v>
      </c>
      <c r="D220" s="446" t="s">
        <v>295</v>
      </c>
      <c r="E220" s="446" t="s">
        <v>111</v>
      </c>
      <c r="F220" s="446" t="s">
        <v>107</v>
      </c>
      <c r="G220" s="446">
        <v>75</v>
      </c>
      <c r="H220" s="446">
        <v>1.24054E-3</v>
      </c>
      <c r="I220" s="446">
        <v>2.3520699999999999E-3</v>
      </c>
      <c r="J220" s="447">
        <v>1.7651400000000001E-2</v>
      </c>
      <c r="K220" s="1"/>
      <c r="L220" s="1"/>
      <c r="M220" s="1"/>
      <c r="N220" s="2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1:25" s="18" customFormat="1" x14ac:dyDescent="0.35">
      <c r="A221" s="1"/>
      <c r="B221" s="448" t="s">
        <v>283</v>
      </c>
      <c r="C221" s="464">
        <v>2040</v>
      </c>
      <c r="D221" s="441" t="s">
        <v>284</v>
      </c>
      <c r="E221" s="441" t="s">
        <v>113</v>
      </c>
      <c r="F221" s="441" t="s">
        <v>107</v>
      </c>
      <c r="G221" s="441">
        <v>2.5</v>
      </c>
      <c r="H221" s="441">
        <v>4.8291599999999997E-2</v>
      </c>
      <c r="I221" s="441">
        <v>2.6026099999999999</v>
      </c>
      <c r="J221" s="442">
        <v>31.776800000000001</v>
      </c>
      <c r="K221" s="1"/>
      <c r="L221" s="1"/>
      <c r="M221" s="1"/>
      <c r="N221" s="2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1:25" s="18" customFormat="1" x14ac:dyDescent="0.35">
      <c r="A222" s="1"/>
      <c r="B222" s="449" t="s">
        <v>283</v>
      </c>
      <c r="C222" s="465">
        <v>2040</v>
      </c>
      <c r="D222" s="18" t="s">
        <v>284</v>
      </c>
      <c r="E222" s="18" t="s">
        <v>113</v>
      </c>
      <c r="F222" s="18" t="s">
        <v>107</v>
      </c>
      <c r="G222" s="18">
        <v>5</v>
      </c>
      <c r="H222" s="18">
        <v>3.3586199999999997E-2</v>
      </c>
      <c r="I222" s="18">
        <v>1.4606300000000001</v>
      </c>
      <c r="J222" s="444">
        <v>17.594999999999999</v>
      </c>
      <c r="K222" s="1"/>
      <c r="L222" s="1"/>
      <c r="M222" s="1"/>
      <c r="N222" s="2"/>
      <c r="O222" s="1"/>
      <c r="P222" s="1"/>
      <c r="Q222" s="1"/>
      <c r="X222" s="1"/>
      <c r="Y222" s="1"/>
    </row>
    <row r="223" spans="1:25" s="18" customFormat="1" x14ac:dyDescent="0.35">
      <c r="A223" s="1"/>
      <c r="B223" s="449" t="s">
        <v>283</v>
      </c>
      <c r="C223" s="465">
        <v>2040</v>
      </c>
      <c r="D223" s="18" t="s">
        <v>284</v>
      </c>
      <c r="E223" s="18" t="s">
        <v>113</v>
      </c>
      <c r="F223" s="18" t="s">
        <v>107</v>
      </c>
      <c r="G223" s="18">
        <v>10</v>
      </c>
      <c r="H223" s="18">
        <v>2.62335E-2</v>
      </c>
      <c r="I223" s="18">
        <v>0.86985999999999997</v>
      </c>
      <c r="J223" s="444">
        <v>10.352399999999999</v>
      </c>
      <c r="K223" s="1"/>
      <c r="L223" s="1"/>
      <c r="M223" s="1"/>
      <c r="N223" s="2"/>
      <c r="O223" s="1"/>
      <c r="P223" s="1"/>
      <c r="Q223" s="1"/>
      <c r="X223" s="1"/>
      <c r="Y223" s="1"/>
    </row>
    <row r="224" spans="1:25" s="18" customFormat="1" x14ac:dyDescent="0.35">
      <c r="A224" s="1"/>
      <c r="B224" s="449" t="s">
        <v>283</v>
      </c>
      <c r="C224" s="465">
        <v>2040</v>
      </c>
      <c r="D224" s="18" t="s">
        <v>284</v>
      </c>
      <c r="E224" s="18" t="s">
        <v>113</v>
      </c>
      <c r="F224" s="18" t="s">
        <v>107</v>
      </c>
      <c r="G224" s="18">
        <v>20</v>
      </c>
      <c r="H224" s="18">
        <v>2.2335500000000001E-2</v>
      </c>
      <c r="I224" s="18">
        <v>0.51673999999999998</v>
      </c>
      <c r="J224" s="444">
        <v>6.0984499999999997</v>
      </c>
      <c r="K224" s="1"/>
      <c r="L224" s="1"/>
      <c r="M224" s="1"/>
      <c r="N224" s="2"/>
      <c r="O224" s="1"/>
      <c r="P224" s="1"/>
      <c r="Q224" s="1"/>
      <c r="X224" s="1"/>
      <c r="Y224" s="1"/>
    </row>
    <row r="225" spans="1:25" s="18" customFormat="1" x14ac:dyDescent="0.35">
      <c r="A225" s="1"/>
      <c r="B225" s="449" t="s">
        <v>283</v>
      </c>
      <c r="C225" s="465">
        <v>2040</v>
      </c>
      <c r="D225" s="18" t="s">
        <v>284</v>
      </c>
      <c r="E225" s="18" t="s">
        <v>113</v>
      </c>
      <c r="F225" s="18" t="s">
        <v>107</v>
      </c>
      <c r="G225" s="18">
        <v>25</v>
      </c>
      <c r="H225" s="18">
        <v>2.3782600000000001E-2</v>
      </c>
      <c r="I225" s="18">
        <v>0.65326499999999998</v>
      </c>
      <c r="J225" s="444">
        <v>7.7797200000000002</v>
      </c>
      <c r="K225" s="1"/>
      <c r="L225" s="1"/>
      <c r="M225" s="1"/>
      <c r="N225" s="2"/>
      <c r="O225" s="1"/>
      <c r="P225" s="1"/>
      <c r="Q225" s="1"/>
      <c r="X225" s="1"/>
      <c r="Y225" s="1"/>
    </row>
    <row r="226" spans="1:25" s="18" customFormat="1" x14ac:dyDescent="0.35">
      <c r="A226" s="1"/>
      <c r="B226" s="449" t="s">
        <v>283</v>
      </c>
      <c r="C226" s="465">
        <v>2040</v>
      </c>
      <c r="D226" s="18" t="s">
        <v>284</v>
      </c>
      <c r="E226" s="18" t="s">
        <v>113</v>
      </c>
      <c r="F226" s="18" t="s">
        <v>107</v>
      </c>
      <c r="G226" s="18">
        <v>25</v>
      </c>
      <c r="H226" s="18">
        <v>2.1021100000000001E-2</v>
      </c>
      <c r="I226" s="18">
        <v>0.41889799999999999</v>
      </c>
      <c r="J226" s="444">
        <v>5.1579600000000001</v>
      </c>
      <c r="K226" s="1"/>
      <c r="L226" s="1"/>
      <c r="M226" s="1"/>
      <c r="N226" s="2"/>
      <c r="O226" s="1"/>
      <c r="P226" s="1"/>
      <c r="Q226" s="1"/>
      <c r="X226" s="1"/>
      <c r="Y226" s="1"/>
    </row>
    <row r="227" spans="1:25" s="18" customFormat="1" x14ac:dyDescent="0.35">
      <c r="A227" s="1"/>
      <c r="B227" s="449" t="s">
        <v>283</v>
      </c>
      <c r="C227" s="465">
        <v>2040</v>
      </c>
      <c r="D227" s="18" t="s">
        <v>284</v>
      </c>
      <c r="E227" s="18" t="s">
        <v>113</v>
      </c>
      <c r="F227" s="18" t="s">
        <v>107</v>
      </c>
      <c r="G227" s="18">
        <v>30</v>
      </c>
      <c r="H227" s="18">
        <v>1.95906E-2</v>
      </c>
      <c r="I227" s="18">
        <v>0.358095</v>
      </c>
      <c r="J227" s="444">
        <v>4.5471500000000002</v>
      </c>
      <c r="K227" s="1"/>
      <c r="L227" s="1"/>
      <c r="M227" s="1"/>
      <c r="N227" s="2"/>
      <c r="O227" s="1"/>
      <c r="P227" s="1"/>
      <c r="Q227" s="1"/>
      <c r="X227" s="1"/>
      <c r="Y227" s="1"/>
    </row>
    <row r="228" spans="1:25" s="18" customFormat="1" x14ac:dyDescent="0.35">
      <c r="A228" s="1"/>
      <c r="B228" s="449" t="s">
        <v>283</v>
      </c>
      <c r="C228" s="465">
        <v>2040</v>
      </c>
      <c r="D228" s="18" t="s">
        <v>284</v>
      </c>
      <c r="E228" s="18" t="s">
        <v>113</v>
      </c>
      <c r="F228" s="18" t="s">
        <v>107</v>
      </c>
      <c r="G228" s="18">
        <v>35</v>
      </c>
      <c r="H228" s="18">
        <v>1.9481600000000002E-2</v>
      </c>
      <c r="I228" s="18">
        <v>0.28048299999999998</v>
      </c>
      <c r="J228" s="444">
        <v>3.4813900000000002</v>
      </c>
      <c r="K228" s="1"/>
      <c r="L228" s="1"/>
      <c r="M228" s="1"/>
      <c r="N228" s="2"/>
      <c r="O228" s="1"/>
      <c r="P228" s="1"/>
      <c r="Q228" s="1"/>
      <c r="X228" s="1"/>
      <c r="Y228" s="1"/>
    </row>
    <row r="229" spans="1:25" s="18" customFormat="1" x14ac:dyDescent="0.35">
      <c r="A229" s="1"/>
      <c r="B229" s="449" t="s">
        <v>283</v>
      </c>
      <c r="C229" s="465">
        <v>2040</v>
      </c>
      <c r="D229" s="18" t="s">
        <v>284</v>
      </c>
      <c r="E229" s="18" t="s">
        <v>113</v>
      </c>
      <c r="F229" s="18" t="s">
        <v>107</v>
      </c>
      <c r="G229" s="18">
        <v>40</v>
      </c>
      <c r="H229" s="18">
        <v>1.9614099999999999E-2</v>
      </c>
      <c r="I229" s="18">
        <v>0.23072599999999999</v>
      </c>
      <c r="J229" s="444">
        <v>2.9781900000000001</v>
      </c>
      <c r="K229" s="1"/>
      <c r="L229" s="1"/>
      <c r="M229" s="1"/>
      <c r="N229" s="2"/>
      <c r="O229" s="1"/>
      <c r="P229" s="1"/>
      <c r="Q229" s="1"/>
      <c r="X229" s="1"/>
      <c r="Y229" s="1"/>
    </row>
    <row r="230" spans="1:25" s="18" customFormat="1" x14ac:dyDescent="0.35">
      <c r="A230" s="1"/>
      <c r="B230" s="449" t="s">
        <v>283</v>
      </c>
      <c r="C230" s="465">
        <v>2040</v>
      </c>
      <c r="D230" s="18" t="s">
        <v>284</v>
      </c>
      <c r="E230" s="18" t="s">
        <v>113</v>
      </c>
      <c r="F230" s="18" t="s">
        <v>107</v>
      </c>
      <c r="G230" s="18">
        <v>45</v>
      </c>
      <c r="H230" s="18">
        <v>1.9866999999999999E-2</v>
      </c>
      <c r="I230" s="18">
        <v>0.19203100000000001</v>
      </c>
      <c r="J230" s="444">
        <v>2.5868099999999998</v>
      </c>
      <c r="K230" s="1"/>
      <c r="L230" s="1"/>
      <c r="M230" s="1"/>
      <c r="N230" s="2"/>
      <c r="O230" s="1"/>
      <c r="P230" s="1"/>
      <c r="Q230" s="1"/>
      <c r="X230" s="1"/>
      <c r="Y230" s="1"/>
    </row>
    <row r="231" spans="1:25" s="18" customFormat="1" x14ac:dyDescent="0.35">
      <c r="A231" s="1"/>
      <c r="B231" s="449" t="s">
        <v>283</v>
      </c>
      <c r="C231" s="465">
        <v>2040</v>
      </c>
      <c r="D231" s="18" t="s">
        <v>284</v>
      </c>
      <c r="E231" s="18" t="s">
        <v>113</v>
      </c>
      <c r="F231" s="18" t="s">
        <v>107</v>
      </c>
      <c r="G231" s="18">
        <v>50</v>
      </c>
      <c r="H231" s="18">
        <v>2.03232E-2</v>
      </c>
      <c r="I231" s="18">
        <v>0.16078899999999999</v>
      </c>
      <c r="J231" s="444">
        <v>2.0920000000000001</v>
      </c>
      <c r="K231" s="1"/>
      <c r="L231" s="1"/>
      <c r="M231" s="1"/>
      <c r="N231" s="2"/>
      <c r="O231" s="1"/>
      <c r="P231" s="1"/>
      <c r="Q231" s="1"/>
      <c r="X231" s="1"/>
      <c r="Y231" s="1"/>
    </row>
    <row r="232" spans="1:25" s="18" customFormat="1" x14ac:dyDescent="0.35">
      <c r="A232" s="1"/>
      <c r="B232" s="449" t="s">
        <v>283</v>
      </c>
      <c r="C232" s="465">
        <v>2040</v>
      </c>
      <c r="D232" s="18" t="s">
        <v>284</v>
      </c>
      <c r="E232" s="18" t="s">
        <v>113</v>
      </c>
      <c r="F232" s="18" t="s">
        <v>107</v>
      </c>
      <c r="G232" s="18">
        <v>55</v>
      </c>
      <c r="H232" s="18">
        <v>2.1041399999999998E-2</v>
      </c>
      <c r="I232" s="18">
        <v>0.13562199999999999</v>
      </c>
      <c r="J232" s="444">
        <v>1.61772</v>
      </c>
      <c r="K232" s="1"/>
      <c r="L232" s="1"/>
      <c r="M232" s="1"/>
      <c r="N232" s="2"/>
      <c r="O232" s="1"/>
      <c r="P232" s="1"/>
      <c r="Q232" s="1"/>
      <c r="X232" s="1"/>
      <c r="Y232" s="1"/>
    </row>
    <row r="233" spans="1:25" s="18" customFormat="1" x14ac:dyDescent="0.35">
      <c r="A233" s="1"/>
      <c r="B233" s="449" t="s">
        <v>283</v>
      </c>
      <c r="C233" s="465">
        <v>2040</v>
      </c>
      <c r="D233" s="18" t="s">
        <v>284</v>
      </c>
      <c r="E233" s="18" t="s">
        <v>113</v>
      </c>
      <c r="F233" s="18" t="s">
        <v>107</v>
      </c>
      <c r="G233" s="18">
        <v>60</v>
      </c>
      <c r="H233" s="18">
        <v>2.20512E-2</v>
      </c>
      <c r="I233" s="18">
        <v>0.11361400000000001</v>
      </c>
      <c r="J233" s="444">
        <v>1.5025500000000001</v>
      </c>
      <c r="K233" s="1"/>
      <c r="L233" s="1"/>
      <c r="M233" s="1"/>
      <c r="N233" s="2"/>
      <c r="O233" s="1"/>
      <c r="P233" s="1"/>
      <c r="Q233" s="1"/>
      <c r="X233" s="1"/>
      <c r="Y233" s="1"/>
    </row>
    <row r="234" spans="1:25" s="18" customFormat="1" x14ac:dyDescent="0.35">
      <c r="A234" s="1"/>
      <c r="B234" s="449" t="s">
        <v>283</v>
      </c>
      <c r="C234" s="465">
        <v>2040</v>
      </c>
      <c r="D234" s="18" t="s">
        <v>284</v>
      </c>
      <c r="E234" s="18" t="s">
        <v>113</v>
      </c>
      <c r="F234" s="18" t="s">
        <v>107</v>
      </c>
      <c r="G234" s="18">
        <v>65</v>
      </c>
      <c r="H234" s="18">
        <v>2.3772999999999999E-2</v>
      </c>
      <c r="I234" s="18">
        <v>0.116962</v>
      </c>
      <c r="J234" s="444">
        <v>1.6658599999999999</v>
      </c>
      <c r="K234" s="1"/>
      <c r="L234" s="1"/>
      <c r="M234" s="1"/>
      <c r="N234" s="2"/>
      <c r="O234" s="1"/>
      <c r="P234" s="1"/>
      <c r="Q234" s="1"/>
      <c r="X234" s="1"/>
      <c r="Y234" s="1"/>
    </row>
    <row r="235" spans="1:25" s="18" customFormat="1" x14ac:dyDescent="0.35">
      <c r="A235" s="1"/>
      <c r="B235" s="449" t="s">
        <v>283</v>
      </c>
      <c r="C235" s="465">
        <v>2040</v>
      </c>
      <c r="D235" s="18" t="s">
        <v>284</v>
      </c>
      <c r="E235" s="18" t="s">
        <v>113</v>
      </c>
      <c r="F235" s="18" t="s">
        <v>107</v>
      </c>
      <c r="G235" s="18">
        <v>70</v>
      </c>
      <c r="H235" s="18">
        <v>2.74486E-2</v>
      </c>
      <c r="I235" s="18">
        <v>0.123516</v>
      </c>
      <c r="J235" s="444">
        <v>1.80585</v>
      </c>
      <c r="K235" s="1"/>
      <c r="L235" s="1"/>
      <c r="M235" s="1"/>
      <c r="N235" s="2"/>
      <c r="O235" s="1"/>
      <c r="P235" s="1"/>
      <c r="Q235" s="1"/>
      <c r="X235" s="1"/>
      <c r="Y235" s="1"/>
    </row>
    <row r="236" spans="1:25" s="18" customFormat="1" x14ac:dyDescent="0.35">
      <c r="A236" s="1"/>
      <c r="B236" s="450" t="s">
        <v>283</v>
      </c>
      <c r="C236" s="466">
        <v>2040</v>
      </c>
      <c r="D236" s="446" t="s">
        <v>284</v>
      </c>
      <c r="E236" s="446" t="s">
        <v>113</v>
      </c>
      <c r="F236" s="446" t="s">
        <v>107</v>
      </c>
      <c r="G236" s="446">
        <v>75</v>
      </c>
      <c r="H236" s="446">
        <v>3.22251E-2</v>
      </c>
      <c r="I236" s="446">
        <v>0.133081</v>
      </c>
      <c r="J236" s="447">
        <v>1.96696</v>
      </c>
      <c r="K236" s="1"/>
      <c r="L236" s="1"/>
      <c r="M236" s="1"/>
      <c r="N236" s="2"/>
      <c r="O236" s="1"/>
      <c r="P236" s="1"/>
      <c r="Q236" s="1"/>
      <c r="X236" s="1"/>
      <c r="Y236" s="1"/>
    </row>
    <row r="237" spans="1:25" s="18" customFormat="1" x14ac:dyDescent="0.35">
      <c r="A237" s="1"/>
      <c r="B237" s="284" t="s">
        <v>283</v>
      </c>
      <c r="C237" s="443">
        <v>2040</v>
      </c>
      <c r="D237" s="18" t="s">
        <v>284</v>
      </c>
      <c r="E237" s="18" t="s">
        <v>115</v>
      </c>
      <c r="F237" s="18" t="s">
        <v>107</v>
      </c>
      <c r="G237" s="18">
        <v>2.5</v>
      </c>
      <c r="H237" s="18">
        <v>4.7400999999999999E-2</v>
      </c>
      <c r="I237" s="18">
        <v>0.17130500000000001</v>
      </c>
      <c r="J237" s="444">
        <v>0.600881</v>
      </c>
      <c r="K237" s="1"/>
      <c r="L237" s="1"/>
      <c r="M237" s="1"/>
      <c r="N237" s="2"/>
      <c r="O237" s="1"/>
      <c r="P237" s="1"/>
      <c r="Q237" s="1"/>
      <c r="X237" s="1"/>
      <c r="Y237" s="1"/>
    </row>
    <row r="238" spans="1:25" s="18" customFormat="1" x14ac:dyDescent="0.35">
      <c r="A238" s="1"/>
      <c r="B238" s="280" t="s">
        <v>283</v>
      </c>
      <c r="C238" s="443">
        <v>2040</v>
      </c>
      <c r="D238" s="18" t="s">
        <v>284</v>
      </c>
      <c r="E238" s="18" t="s">
        <v>115</v>
      </c>
      <c r="F238" s="18" t="s">
        <v>107</v>
      </c>
      <c r="G238" s="18">
        <v>5</v>
      </c>
      <c r="H238" s="18">
        <v>2.9396499999999999E-2</v>
      </c>
      <c r="I238" s="18">
        <v>9.9232399999999998E-2</v>
      </c>
      <c r="J238" s="444">
        <v>0.32292700000000002</v>
      </c>
      <c r="K238" s="1"/>
      <c r="L238" s="1"/>
      <c r="M238" s="1"/>
      <c r="N238" s="2"/>
      <c r="O238" s="1"/>
      <c r="P238" s="1"/>
      <c r="Q238" s="1"/>
      <c r="X238" s="1"/>
      <c r="Y238" s="1"/>
    </row>
    <row r="239" spans="1:25" s="18" customFormat="1" x14ac:dyDescent="0.35">
      <c r="A239" s="1"/>
      <c r="B239" s="280" t="s">
        <v>283</v>
      </c>
      <c r="C239" s="443">
        <v>2040</v>
      </c>
      <c r="D239" s="18" t="s">
        <v>284</v>
      </c>
      <c r="E239" s="18" t="s">
        <v>115</v>
      </c>
      <c r="F239" s="18" t="s">
        <v>107</v>
      </c>
      <c r="G239" s="18">
        <v>10</v>
      </c>
      <c r="H239" s="18">
        <v>2.0394200000000001E-2</v>
      </c>
      <c r="I239" s="18">
        <v>6.0063400000000003E-2</v>
      </c>
      <c r="J239" s="444">
        <v>0.173205</v>
      </c>
      <c r="K239" s="1"/>
      <c r="L239" s="1"/>
      <c r="M239" s="1"/>
      <c r="N239" s="2"/>
      <c r="O239" s="1"/>
      <c r="P239" s="1"/>
      <c r="Q239" s="1"/>
      <c r="X239" s="1"/>
      <c r="Y239" s="1"/>
    </row>
    <row r="240" spans="1:25" s="18" customFormat="1" x14ac:dyDescent="0.35">
      <c r="A240" s="1"/>
      <c r="B240" s="280" t="s">
        <v>283</v>
      </c>
      <c r="C240" s="443">
        <v>2040</v>
      </c>
      <c r="D240" s="18" t="s">
        <v>284</v>
      </c>
      <c r="E240" s="18" t="s">
        <v>115</v>
      </c>
      <c r="F240" s="18" t="s">
        <v>107</v>
      </c>
      <c r="G240" s="18">
        <v>20</v>
      </c>
      <c r="H240" s="18">
        <v>1.56291E-2</v>
      </c>
      <c r="I240" s="18">
        <v>3.68642E-2</v>
      </c>
      <c r="J240" s="444">
        <v>9.4714400000000004E-2</v>
      </c>
      <c r="K240" s="1"/>
      <c r="L240" s="1"/>
      <c r="M240" s="1"/>
      <c r="N240" s="2"/>
      <c r="O240" s="1"/>
      <c r="P240" s="1"/>
      <c r="Q240" s="1"/>
      <c r="X240" s="1"/>
      <c r="Y240" s="1"/>
    </row>
    <row r="241" spans="1:70" s="18" customFormat="1" x14ac:dyDescent="0.35">
      <c r="A241" s="1"/>
      <c r="B241" s="280" t="s">
        <v>283</v>
      </c>
      <c r="C241" s="443">
        <v>2040</v>
      </c>
      <c r="D241" s="18" t="s">
        <v>284</v>
      </c>
      <c r="E241" s="18" t="s">
        <v>115</v>
      </c>
      <c r="F241" s="18" t="s">
        <v>107</v>
      </c>
      <c r="G241" s="18">
        <v>25</v>
      </c>
      <c r="H241" s="18">
        <v>1.73934E-2</v>
      </c>
      <c r="I241" s="18">
        <v>4.5853100000000001E-2</v>
      </c>
      <c r="J241" s="444">
        <v>0.12568399999999999</v>
      </c>
      <c r="K241" s="1"/>
      <c r="L241" s="1"/>
      <c r="M241" s="1"/>
      <c r="N241" s="2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70" s="18" customFormat="1" x14ac:dyDescent="0.35">
      <c r="A242" s="1"/>
      <c r="B242" s="280" t="s">
        <v>283</v>
      </c>
      <c r="C242" s="443">
        <v>2040</v>
      </c>
      <c r="D242" s="18" t="s">
        <v>284</v>
      </c>
      <c r="E242" s="18" t="s">
        <v>115</v>
      </c>
      <c r="F242" s="18" t="s">
        <v>107</v>
      </c>
      <c r="G242" s="18">
        <v>25</v>
      </c>
      <c r="H242" s="18">
        <v>1.40392E-2</v>
      </c>
      <c r="I242" s="18">
        <v>3.0277800000000001E-2</v>
      </c>
      <c r="J242" s="444">
        <v>8.0517599999999995E-2</v>
      </c>
      <c r="K242" s="1"/>
      <c r="L242" s="1"/>
      <c r="M242" s="1"/>
      <c r="N242" s="2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70" s="18" customFormat="1" x14ac:dyDescent="0.35">
      <c r="A243" s="1"/>
      <c r="B243" s="280" t="s">
        <v>283</v>
      </c>
      <c r="C243" s="443">
        <v>2040</v>
      </c>
      <c r="D243" s="18" t="s">
        <v>284</v>
      </c>
      <c r="E243" s="18" t="s">
        <v>115</v>
      </c>
      <c r="F243" s="18" t="s">
        <v>107</v>
      </c>
      <c r="G243" s="18">
        <v>30</v>
      </c>
      <c r="H243" s="18">
        <v>1.26239E-2</v>
      </c>
      <c r="I243" s="18">
        <v>2.6565600000000002E-2</v>
      </c>
      <c r="J243" s="444">
        <v>7.2780600000000001E-2</v>
      </c>
      <c r="K243" s="1"/>
      <c r="L243" s="1"/>
      <c r="M243" s="1"/>
      <c r="N243" s="2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70" s="18" customFormat="1" x14ac:dyDescent="0.35">
      <c r="A244" s="1"/>
      <c r="B244" s="280" t="s">
        <v>283</v>
      </c>
      <c r="C244" s="443">
        <v>2040</v>
      </c>
      <c r="D244" s="18" t="s">
        <v>284</v>
      </c>
      <c r="E244" s="18" t="s">
        <v>115</v>
      </c>
      <c r="F244" s="18" t="s">
        <v>107</v>
      </c>
      <c r="G244" s="18">
        <v>35</v>
      </c>
      <c r="H244" s="18">
        <v>1.1268800000000001E-2</v>
      </c>
      <c r="I244" s="18">
        <v>2.2318299999999999E-2</v>
      </c>
      <c r="J244" s="444">
        <v>5.8534599999999999E-2</v>
      </c>
      <c r="K244" s="1"/>
      <c r="L244" s="1"/>
      <c r="M244" s="1"/>
      <c r="N244" s="2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70" s="18" customFormat="1" x14ac:dyDescent="0.35">
      <c r="A245" s="1"/>
      <c r="B245" s="280" t="s">
        <v>283</v>
      </c>
      <c r="C245" s="443">
        <v>2040</v>
      </c>
      <c r="D245" s="18" t="s">
        <v>284</v>
      </c>
      <c r="E245" s="18" t="s">
        <v>115</v>
      </c>
      <c r="F245" s="18" t="s">
        <v>107</v>
      </c>
      <c r="G245" s="18">
        <v>40</v>
      </c>
      <c r="H245" s="18">
        <v>1.01806E-2</v>
      </c>
      <c r="I245" s="18">
        <v>1.8858300000000001E-2</v>
      </c>
      <c r="J245" s="444">
        <v>5.4323299999999998E-2</v>
      </c>
      <c r="K245" s="1"/>
      <c r="L245" s="1"/>
      <c r="M245" s="1"/>
      <c r="N245" s="2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70" s="18" customFormat="1" x14ac:dyDescent="0.35">
      <c r="A246" s="1"/>
      <c r="B246" s="280" t="s">
        <v>283</v>
      </c>
      <c r="C246" s="443">
        <v>2040</v>
      </c>
      <c r="D246" s="18" t="s">
        <v>284</v>
      </c>
      <c r="E246" s="18" t="s">
        <v>115</v>
      </c>
      <c r="F246" s="18" t="s">
        <v>107</v>
      </c>
      <c r="G246" s="18">
        <v>45</v>
      </c>
      <c r="H246" s="18">
        <v>9.4511700000000001E-3</v>
      </c>
      <c r="I246" s="18">
        <v>1.6235300000000001E-2</v>
      </c>
      <c r="J246" s="444">
        <v>5.1047799999999997E-2</v>
      </c>
      <c r="K246" s="1"/>
      <c r="L246" s="1"/>
      <c r="M246" s="1"/>
      <c r="N246" s="2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70" s="18" customFormat="1" x14ac:dyDescent="0.35">
      <c r="A247" s="1"/>
      <c r="B247" s="280" t="s">
        <v>283</v>
      </c>
      <c r="C247" s="443">
        <v>2040</v>
      </c>
      <c r="D247" s="18" t="s">
        <v>284</v>
      </c>
      <c r="E247" s="18" t="s">
        <v>115</v>
      </c>
      <c r="F247" s="18" t="s">
        <v>107</v>
      </c>
      <c r="G247" s="18">
        <v>50</v>
      </c>
      <c r="H247" s="18">
        <v>9.0660199999999993E-3</v>
      </c>
      <c r="I247" s="18">
        <v>1.41706E-2</v>
      </c>
      <c r="J247" s="444">
        <v>4.5669300000000003E-2</v>
      </c>
      <c r="K247" s="1"/>
      <c r="L247" s="1"/>
      <c r="M247" s="1"/>
      <c r="N247" s="2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70" s="18" customFormat="1" x14ac:dyDescent="0.35">
      <c r="A248" s="1"/>
      <c r="B248" s="280" t="s">
        <v>283</v>
      </c>
      <c r="C248" s="443">
        <v>2040</v>
      </c>
      <c r="D248" s="18" t="s">
        <v>284</v>
      </c>
      <c r="E248" s="18" t="s">
        <v>115</v>
      </c>
      <c r="F248" s="18" t="s">
        <v>107</v>
      </c>
      <c r="G248" s="18">
        <v>55</v>
      </c>
      <c r="H248" s="18">
        <v>8.8588399999999998E-3</v>
      </c>
      <c r="I248" s="18">
        <v>1.26014E-2</v>
      </c>
      <c r="J248" s="444">
        <v>3.9686199999999998E-2</v>
      </c>
      <c r="K248" s="1"/>
      <c r="L248" s="1"/>
      <c r="M248" s="1"/>
      <c r="N248" s="2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70" s="18" customFormat="1" x14ac:dyDescent="0.35">
      <c r="A249" s="1"/>
      <c r="B249" s="280" t="s">
        <v>283</v>
      </c>
      <c r="C249" s="443">
        <v>2040</v>
      </c>
      <c r="D249" s="18" t="s">
        <v>284</v>
      </c>
      <c r="E249" s="18" t="s">
        <v>115</v>
      </c>
      <c r="F249" s="18" t="s">
        <v>107</v>
      </c>
      <c r="G249" s="18">
        <v>60</v>
      </c>
      <c r="H249" s="18">
        <v>8.8148500000000008E-3</v>
      </c>
      <c r="I249" s="18">
        <v>1.17866E-2</v>
      </c>
      <c r="J249" s="444">
        <v>3.6455700000000001E-2</v>
      </c>
      <c r="K249" s="1"/>
      <c r="L249" s="1"/>
      <c r="M249" s="1"/>
      <c r="N249" s="2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70" s="18" customFormat="1" x14ac:dyDescent="0.35">
      <c r="A250" s="1"/>
      <c r="B250" s="280" t="s">
        <v>283</v>
      </c>
      <c r="C250" s="443">
        <v>2040</v>
      </c>
      <c r="D250" s="18" t="s">
        <v>284</v>
      </c>
      <c r="E250" s="18" t="s">
        <v>115</v>
      </c>
      <c r="F250" s="18" t="s">
        <v>107</v>
      </c>
      <c r="G250" s="18">
        <v>65</v>
      </c>
      <c r="H250" s="18">
        <v>9.0847800000000006E-3</v>
      </c>
      <c r="I250" s="18">
        <v>1.2271799999999999E-2</v>
      </c>
      <c r="J250" s="444">
        <v>3.8002300000000003E-2</v>
      </c>
      <c r="K250" s="1"/>
      <c r="L250" s="1"/>
      <c r="M250" s="1"/>
      <c r="N250" s="2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70" s="18" customFormat="1" x14ac:dyDescent="0.35">
      <c r="A251" s="1"/>
      <c r="B251" s="280" t="s">
        <v>283</v>
      </c>
      <c r="C251" s="443">
        <v>2040</v>
      </c>
      <c r="D251" s="18" t="s">
        <v>284</v>
      </c>
      <c r="E251" s="18" t="s">
        <v>115</v>
      </c>
      <c r="F251" s="18" t="s">
        <v>107</v>
      </c>
      <c r="G251" s="18">
        <v>70</v>
      </c>
      <c r="H251" s="18">
        <v>1.00952E-2</v>
      </c>
      <c r="I251" s="18">
        <v>1.33679E-2</v>
      </c>
      <c r="J251" s="444">
        <v>3.9328000000000002E-2</v>
      </c>
      <c r="K251" s="1"/>
      <c r="L251" s="1"/>
      <c r="M251" s="1"/>
      <c r="N251" s="2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70" s="18" customFormat="1" x14ac:dyDescent="0.35">
      <c r="A252" s="1"/>
      <c r="B252" s="282" t="s">
        <v>283</v>
      </c>
      <c r="C252" s="445">
        <v>2040</v>
      </c>
      <c r="D252" s="446" t="s">
        <v>284</v>
      </c>
      <c r="E252" s="446" t="s">
        <v>115</v>
      </c>
      <c r="F252" s="446" t="s">
        <v>107</v>
      </c>
      <c r="G252" s="446">
        <v>75</v>
      </c>
      <c r="H252" s="446">
        <v>1.1660800000000001E-2</v>
      </c>
      <c r="I252" s="446">
        <v>1.5150200000000001E-2</v>
      </c>
      <c r="J252" s="447">
        <v>4.20057E-2</v>
      </c>
      <c r="K252" s="1"/>
      <c r="L252" s="1"/>
      <c r="M252" s="1"/>
      <c r="N252" s="2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70" s="18" customFormat="1" x14ac:dyDescent="0.35">
      <c r="A253" s="1"/>
      <c r="B253" s="149"/>
      <c r="C253" s="149"/>
      <c r="D253" s="149"/>
      <c r="E253" s="1"/>
      <c r="F253" s="1"/>
      <c r="G253" s="1"/>
      <c r="H253" s="1"/>
      <c r="I253" s="1"/>
      <c r="J253" s="1"/>
      <c r="K253" s="1"/>
      <c r="L253" s="1"/>
      <c r="M253" s="1"/>
      <c r="N253" s="2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70" x14ac:dyDescent="0.35">
      <c r="F254" s="1"/>
      <c r="L254" s="1"/>
      <c r="S254" s="1"/>
    </row>
    <row r="255" spans="1:70" ht="18.5" x14ac:dyDescent="0.45">
      <c r="A255" s="263" t="s">
        <v>301</v>
      </c>
      <c r="B255" s="274"/>
      <c r="C255" s="274"/>
      <c r="D255" s="274"/>
      <c r="E255" s="263"/>
      <c r="F255" s="263"/>
      <c r="G255" s="263"/>
      <c r="H255" s="263"/>
      <c r="I255" s="263"/>
      <c r="J255" s="263"/>
      <c r="K255" s="263"/>
      <c r="L255" s="263"/>
      <c r="M255" s="263"/>
      <c r="N255" s="1"/>
      <c r="S255" s="1"/>
      <c r="AP255" s="2"/>
      <c r="AS255" s="19"/>
      <c r="BM255" s="19"/>
      <c r="BN255" s="2"/>
      <c r="BR255" s="19"/>
    </row>
    <row r="256" spans="1:70" ht="18.5" x14ac:dyDescent="0.45">
      <c r="A256" s="264" t="s">
        <v>302</v>
      </c>
      <c r="B256" s="275"/>
      <c r="C256" s="275"/>
      <c r="D256" s="275"/>
      <c r="E256" s="265"/>
      <c r="F256" s="266"/>
      <c r="G256" s="265"/>
      <c r="H256" s="265"/>
      <c r="I256" s="265"/>
      <c r="J256" s="265"/>
      <c r="K256" s="266"/>
      <c r="L256" s="265"/>
      <c r="M256" s="265"/>
      <c r="N256" s="1"/>
      <c r="S256" s="1"/>
    </row>
    <row r="257" spans="2:212" ht="15.5" x14ac:dyDescent="0.35">
      <c r="B257" s="291" t="s">
        <v>303</v>
      </c>
      <c r="C257" s="554" t="s">
        <v>304</v>
      </c>
      <c r="D257" s="555"/>
      <c r="E257" s="555"/>
      <c r="F257" s="555"/>
      <c r="G257" s="556"/>
      <c r="H257" s="554" t="s">
        <v>305</v>
      </c>
      <c r="I257" s="555"/>
      <c r="J257" s="555"/>
      <c r="K257" s="555"/>
      <c r="L257" s="556"/>
      <c r="M257" s="554" t="s">
        <v>306</v>
      </c>
      <c r="N257" s="555"/>
      <c r="O257" s="555"/>
      <c r="P257" s="555"/>
      <c r="Q257" s="556"/>
      <c r="R257" s="554" t="s">
        <v>307</v>
      </c>
      <c r="S257" s="555"/>
      <c r="T257" s="555"/>
      <c r="U257" s="555"/>
      <c r="V257" s="556"/>
      <c r="W257" s="482" t="s">
        <v>308</v>
      </c>
      <c r="X257" s="483"/>
      <c r="Y257" s="483"/>
      <c r="Z257" s="483"/>
      <c r="AA257" s="484"/>
      <c r="AB257" s="482" t="s">
        <v>309</v>
      </c>
      <c r="AC257" s="483"/>
      <c r="AD257" s="483"/>
      <c r="AE257" s="483"/>
      <c r="AF257" s="484"/>
      <c r="AG257" s="482" t="s">
        <v>310</v>
      </c>
      <c r="AH257" s="483"/>
      <c r="AI257" s="483"/>
      <c r="AJ257" s="483"/>
      <c r="AK257" s="484"/>
      <c r="AL257" s="482" t="s">
        <v>311</v>
      </c>
      <c r="AM257" s="483"/>
      <c r="AN257" s="483"/>
      <c r="AO257" s="483"/>
      <c r="AP257" s="484"/>
      <c r="AQ257" s="482" t="s">
        <v>312</v>
      </c>
      <c r="AR257" s="483"/>
      <c r="AS257" s="483"/>
      <c r="AT257" s="483"/>
      <c r="AU257" s="484"/>
      <c r="AV257" s="482" t="s">
        <v>313</v>
      </c>
      <c r="AW257" s="483"/>
      <c r="AX257" s="483"/>
      <c r="AY257" s="483"/>
      <c r="AZ257" s="484"/>
      <c r="BA257" s="482" t="s">
        <v>314</v>
      </c>
      <c r="BB257" s="483"/>
      <c r="BC257" s="483"/>
      <c r="BD257" s="483"/>
      <c r="BE257" s="484"/>
      <c r="BF257" s="482" t="s">
        <v>315</v>
      </c>
      <c r="BG257" s="483"/>
      <c r="BH257" s="483"/>
      <c r="BI257" s="483"/>
      <c r="BJ257" s="484"/>
      <c r="BK257" s="482" t="s">
        <v>316</v>
      </c>
      <c r="BL257" s="483"/>
      <c r="BM257" s="483"/>
      <c r="BN257" s="483"/>
      <c r="BO257" s="484"/>
      <c r="BP257" s="482" t="s">
        <v>317</v>
      </c>
      <c r="BQ257" s="483"/>
      <c r="BR257" s="483"/>
      <c r="BS257" s="483"/>
      <c r="BT257" s="484"/>
      <c r="BU257" s="482" t="s">
        <v>318</v>
      </c>
      <c r="BV257" s="483"/>
      <c r="BW257" s="483"/>
      <c r="BX257" s="483"/>
      <c r="BY257" s="484"/>
      <c r="BZ257" s="482" t="s">
        <v>319</v>
      </c>
      <c r="CA257" s="483"/>
      <c r="CB257" s="483"/>
      <c r="CC257" s="483"/>
      <c r="CD257" s="484"/>
      <c r="CE257" s="482" t="s">
        <v>320</v>
      </c>
      <c r="CF257" s="483"/>
      <c r="CG257" s="483"/>
      <c r="CH257" s="483"/>
      <c r="CI257" s="484"/>
      <c r="CJ257" s="482" t="s">
        <v>321</v>
      </c>
      <c r="CK257" s="483"/>
      <c r="CL257" s="483"/>
      <c r="CM257" s="483"/>
      <c r="CN257" s="484"/>
      <c r="CO257" s="482" t="s">
        <v>322</v>
      </c>
      <c r="CP257" s="483"/>
      <c r="CQ257" s="483"/>
      <c r="CR257" s="483"/>
      <c r="CS257" s="484"/>
      <c r="CT257" s="482" t="s">
        <v>323</v>
      </c>
      <c r="CU257" s="483"/>
      <c r="CV257" s="483"/>
      <c r="CW257" s="483"/>
      <c r="CX257" s="484"/>
      <c r="CY257" s="482" t="s">
        <v>324</v>
      </c>
      <c r="CZ257" s="483"/>
      <c r="DA257" s="483"/>
      <c r="DB257" s="483"/>
      <c r="DC257" s="484"/>
      <c r="DD257" s="482" t="s">
        <v>325</v>
      </c>
      <c r="DE257" s="483"/>
      <c r="DF257" s="483"/>
      <c r="DG257" s="483"/>
      <c r="DH257" s="484"/>
      <c r="DI257" s="482" t="s">
        <v>326</v>
      </c>
      <c r="DJ257" s="295"/>
      <c r="DK257" s="483"/>
      <c r="DL257" s="483"/>
      <c r="DM257" s="484"/>
      <c r="DN257" s="482" t="s">
        <v>327</v>
      </c>
      <c r="DO257" s="483"/>
      <c r="DP257" s="483"/>
      <c r="DQ257" s="483"/>
      <c r="DR257" s="484"/>
      <c r="DS257" s="482" t="s">
        <v>328</v>
      </c>
      <c r="DT257" s="483"/>
      <c r="DU257" s="483"/>
      <c r="DV257" s="483"/>
      <c r="DW257" s="484"/>
      <c r="DX257" s="482" t="s">
        <v>329</v>
      </c>
      <c r="DY257" s="483"/>
      <c r="DZ257" s="483"/>
      <c r="EA257" s="483"/>
      <c r="EB257" s="484"/>
      <c r="EC257" s="482" t="s">
        <v>330</v>
      </c>
      <c r="ED257" s="483"/>
      <c r="EE257" s="483"/>
      <c r="EF257" s="483"/>
      <c r="EG257" s="484"/>
      <c r="EH257" s="482" t="s">
        <v>331</v>
      </c>
      <c r="EI257" s="483"/>
      <c r="EJ257" s="483"/>
      <c r="EK257" s="483"/>
      <c r="EL257" s="484"/>
      <c r="EM257" s="482" t="s">
        <v>332</v>
      </c>
      <c r="EN257" s="483"/>
      <c r="EO257" s="483"/>
      <c r="EP257" s="483"/>
      <c r="EQ257" s="484"/>
      <c r="ER257" s="482" t="s">
        <v>333</v>
      </c>
      <c r="ES257" s="483"/>
      <c r="ET257" s="483"/>
      <c r="EU257" s="483"/>
      <c r="EV257" s="484"/>
      <c r="EW257" s="482" t="s">
        <v>334</v>
      </c>
      <c r="EX257" s="483"/>
      <c r="EY257" s="483"/>
      <c r="EZ257" s="483"/>
      <c r="FA257" s="484"/>
      <c r="FB257" s="482" t="s">
        <v>335</v>
      </c>
      <c r="FC257" s="483"/>
      <c r="FD257" s="483"/>
      <c r="FE257" s="483"/>
      <c r="FF257" s="484"/>
      <c r="FG257" s="482" t="s">
        <v>336</v>
      </c>
      <c r="FH257" s="483"/>
      <c r="FI257" s="483"/>
      <c r="FJ257" s="483"/>
      <c r="FK257" s="484"/>
      <c r="FL257" s="482" t="s">
        <v>337</v>
      </c>
      <c r="FM257" s="483"/>
      <c r="FN257" s="483"/>
      <c r="FO257" s="483"/>
      <c r="FP257" s="484"/>
      <c r="FQ257" s="482" t="s">
        <v>338</v>
      </c>
      <c r="FR257" s="483"/>
      <c r="FS257" s="483"/>
      <c r="FT257" s="483"/>
      <c r="FU257" s="484"/>
      <c r="FV257" s="482" t="s">
        <v>339</v>
      </c>
      <c r="FW257" s="483"/>
      <c r="FX257" s="483"/>
      <c r="FY257" s="483"/>
      <c r="FZ257" s="484"/>
      <c r="GA257" s="482" t="s">
        <v>340</v>
      </c>
      <c r="GB257" s="483"/>
      <c r="GC257" s="483"/>
      <c r="GD257" s="483"/>
      <c r="GE257" s="484"/>
      <c r="GF257" s="482" t="s">
        <v>341</v>
      </c>
      <c r="GG257" s="483"/>
      <c r="GH257" s="483"/>
      <c r="GI257" s="483"/>
      <c r="GJ257" s="484"/>
      <c r="GK257" s="482" t="s">
        <v>342</v>
      </c>
      <c r="GL257" s="483"/>
      <c r="GM257" s="483"/>
      <c r="GN257" s="483"/>
      <c r="GO257" s="484"/>
      <c r="GP257" s="482" t="s">
        <v>343</v>
      </c>
      <c r="GQ257" s="483"/>
      <c r="GR257" s="483"/>
      <c r="GS257" s="483"/>
      <c r="GT257" s="484"/>
      <c r="GU257" s="482" t="s">
        <v>344</v>
      </c>
      <c r="GV257" s="483"/>
      <c r="GW257" s="483"/>
      <c r="GX257" s="483"/>
      <c r="GY257" s="484"/>
      <c r="GZ257" s="482" t="s">
        <v>345</v>
      </c>
      <c r="HA257" s="483"/>
      <c r="HB257" s="483"/>
      <c r="HC257" s="483"/>
      <c r="HD257" s="484"/>
    </row>
    <row r="258" spans="2:212" ht="17.25" customHeight="1" x14ac:dyDescent="0.35">
      <c r="B258" s="292"/>
      <c r="C258" s="295" t="s">
        <v>106</v>
      </c>
      <c r="D258" s="287" t="s">
        <v>109</v>
      </c>
      <c r="E258" s="287" t="s">
        <v>111</v>
      </c>
      <c r="F258" s="287" t="s">
        <v>285</v>
      </c>
      <c r="G258" s="288" t="s">
        <v>115</v>
      </c>
      <c r="H258" s="295" t="s">
        <v>106</v>
      </c>
      <c r="I258" s="287" t="s">
        <v>109</v>
      </c>
      <c r="J258" s="287" t="s">
        <v>111</v>
      </c>
      <c r="K258" s="287" t="s">
        <v>285</v>
      </c>
      <c r="L258" s="288" t="s">
        <v>115</v>
      </c>
      <c r="M258" s="295" t="s">
        <v>106</v>
      </c>
      <c r="N258" s="287" t="s">
        <v>109</v>
      </c>
      <c r="O258" s="287" t="s">
        <v>111</v>
      </c>
      <c r="P258" s="287" t="s">
        <v>285</v>
      </c>
      <c r="Q258" s="288" t="s">
        <v>115</v>
      </c>
      <c r="R258" s="295" t="s">
        <v>106</v>
      </c>
      <c r="S258" s="287" t="s">
        <v>109</v>
      </c>
      <c r="T258" s="287" t="s">
        <v>111</v>
      </c>
      <c r="U258" s="287" t="s">
        <v>285</v>
      </c>
      <c r="V258" s="288" t="s">
        <v>115</v>
      </c>
      <c r="W258" s="295" t="s">
        <v>106</v>
      </c>
      <c r="X258" s="287" t="s">
        <v>109</v>
      </c>
      <c r="Y258" s="287" t="s">
        <v>111</v>
      </c>
      <c r="Z258" s="287" t="s">
        <v>285</v>
      </c>
      <c r="AA258" s="288" t="s">
        <v>115</v>
      </c>
      <c r="AB258" s="295" t="s">
        <v>106</v>
      </c>
      <c r="AC258" s="287" t="s">
        <v>109</v>
      </c>
      <c r="AD258" s="287" t="s">
        <v>111</v>
      </c>
      <c r="AE258" s="287" t="s">
        <v>285</v>
      </c>
      <c r="AF258" s="288" t="s">
        <v>115</v>
      </c>
      <c r="AG258" s="295" t="s">
        <v>106</v>
      </c>
      <c r="AH258" s="287" t="s">
        <v>109</v>
      </c>
      <c r="AI258" s="287" t="s">
        <v>111</v>
      </c>
      <c r="AJ258" s="287" t="s">
        <v>285</v>
      </c>
      <c r="AK258" s="288" t="s">
        <v>115</v>
      </c>
      <c r="AL258" s="295" t="s">
        <v>106</v>
      </c>
      <c r="AM258" s="287" t="s">
        <v>109</v>
      </c>
      <c r="AN258" s="287" t="s">
        <v>111</v>
      </c>
      <c r="AO258" s="287" t="s">
        <v>285</v>
      </c>
      <c r="AP258" s="288" t="s">
        <v>115</v>
      </c>
      <c r="AQ258" s="295" t="s">
        <v>106</v>
      </c>
      <c r="AR258" s="287" t="s">
        <v>109</v>
      </c>
      <c r="AS258" s="287" t="s">
        <v>111</v>
      </c>
      <c r="AT258" s="287" t="s">
        <v>285</v>
      </c>
      <c r="AU258" s="288" t="s">
        <v>115</v>
      </c>
      <c r="AV258" s="295" t="s">
        <v>106</v>
      </c>
      <c r="AW258" s="287" t="s">
        <v>109</v>
      </c>
      <c r="AX258" s="287" t="s">
        <v>111</v>
      </c>
      <c r="AY258" s="287" t="s">
        <v>285</v>
      </c>
      <c r="AZ258" s="288" t="s">
        <v>115</v>
      </c>
      <c r="BA258" s="295" t="s">
        <v>106</v>
      </c>
      <c r="BB258" s="287" t="s">
        <v>109</v>
      </c>
      <c r="BC258" s="287" t="s">
        <v>111</v>
      </c>
      <c r="BD258" s="287" t="s">
        <v>285</v>
      </c>
      <c r="BE258" s="288" t="s">
        <v>115</v>
      </c>
      <c r="BF258" s="295" t="s">
        <v>106</v>
      </c>
      <c r="BG258" s="287" t="s">
        <v>109</v>
      </c>
      <c r="BH258" s="287" t="s">
        <v>111</v>
      </c>
      <c r="BI258" s="287" t="s">
        <v>285</v>
      </c>
      <c r="BJ258" s="288" t="s">
        <v>115</v>
      </c>
      <c r="BK258" s="295" t="s">
        <v>106</v>
      </c>
      <c r="BL258" s="287" t="s">
        <v>109</v>
      </c>
      <c r="BM258" s="287" t="s">
        <v>111</v>
      </c>
      <c r="BN258" s="287" t="s">
        <v>285</v>
      </c>
      <c r="BO258" s="288" t="s">
        <v>115</v>
      </c>
      <c r="BP258" s="295" t="s">
        <v>106</v>
      </c>
      <c r="BQ258" s="287" t="s">
        <v>109</v>
      </c>
      <c r="BR258" s="287" t="s">
        <v>111</v>
      </c>
      <c r="BS258" s="287" t="s">
        <v>285</v>
      </c>
      <c r="BT258" s="288" t="s">
        <v>115</v>
      </c>
      <c r="BU258" s="295" t="s">
        <v>106</v>
      </c>
      <c r="BV258" s="287" t="s">
        <v>109</v>
      </c>
      <c r="BW258" s="287" t="s">
        <v>111</v>
      </c>
      <c r="BX258" s="287" t="s">
        <v>285</v>
      </c>
      <c r="BY258" s="288" t="s">
        <v>115</v>
      </c>
      <c r="BZ258" s="295" t="s">
        <v>106</v>
      </c>
      <c r="CA258" s="287" t="s">
        <v>109</v>
      </c>
      <c r="CB258" s="287" t="s">
        <v>111</v>
      </c>
      <c r="CC258" s="287" t="s">
        <v>285</v>
      </c>
      <c r="CD258" s="288" t="s">
        <v>115</v>
      </c>
      <c r="CE258" s="295" t="s">
        <v>106</v>
      </c>
      <c r="CF258" s="287" t="s">
        <v>109</v>
      </c>
      <c r="CG258" s="287" t="s">
        <v>111</v>
      </c>
      <c r="CH258" s="287" t="s">
        <v>285</v>
      </c>
      <c r="CI258" s="288" t="s">
        <v>115</v>
      </c>
      <c r="CJ258" s="295" t="s">
        <v>106</v>
      </c>
      <c r="CK258" s="287" t="s">
        <v>109</v>
      </c>
      <c r="CL258" s="287" t="s">
        <v>111</v>
      </c>
      <c r="CM258" s="287" t="s">
        <v>285</v>
      </c>
      <c r="CN258" s="288" t="s">
        <v>115</v>
      </c>
      <c r="CO258" s="295" t="s">
        <v>106</v>
      </c>
      <c r="CP258" s="287" t="s">
        <v>109</v>
      </c>
      <c r="CQ258" s="287" t="s">
        <v>111</v>
      </c>
      <c r="CR258" s="287" t="s">
        <v>285</v>
      </c>
      <c r="CS258" s="288" t="s">
        <v>115</v>
      </c>
      <c r="CT258" s="295" t="s">
        <v>106</v>
      </c>
      <c r="CU258" s="287" t="s">
        <v>109</v>
      </c>
      <c r="CV258" s="287" t="s">
        <v>111</v>
      </c>
      <c r="CW258" s="287" t="s">
        <v>285</v>
      </c>
      <c r="CX258" s="288" t="s">
        <v>115</v>
      </c>
      <c r="CY258" s="295" t="s">
        <v>106</v>
      </c>
      <c r="CZ258" s="287" t="s">
        <v>109</v>
      </c>
      <c r="DA258" s="287" t="s">
        <v>111</v>
      </c>
      <c r="DB258" s="287" t="s">
        <v>285</v>
      </c>
      <c r="DC258" s="288" t="s">
        <v>115</v>
      </c>
      <c r="DD258" s="295" t="s">
        <v>106</v>
      </c>
      <c r="DE258" s="287" t="s">
        <v>109</v>
      </c>
      <c r="DF258" s="287" t="s">
        <v>111</v>
      </c>
      <c r="DG258" s="287" t="s">
        <v>285</v>
      </c>
      <c r="DH258" s="288" t="s">
        <v>115</v>
      </c>
      <c r="DI258" s="295" t="s">
        <v>106</v>
      </c>
      <c r="DJ258" s="287" t="s">
        <v>109</v>
      </c>
      <c r="DK258" s="287" t="s">
        <v>111</v>
      </c>
      <c r="DL258" s="287" t="s">
        <v>285</v>
      </c>
      <c r="DM258" s="288" t="s">
        <v>115</v>
      </c>
      <c r="DN258" s="295" t="s">
        <v>106</v>
      </c>
      <c r="DO258" s="287" t="s">
        <v>109</v>
      </c>
      <c r="DP258" s="287" t="s">
        <v>111</v>
      </c>
      <c r="DQ258" s="287" t="s">
        <v>285</v>
      </c>
      <c r="DR258" s="288" t="s">
        <v>115</v>
      </c>
      <c r="DS258" s="295" t="s">
        <v>106</v>
      </c>
      <c r="DT258" s="287" t="s">
        <v>109</v>
      </c>
      <c r="DU258" s="287" t="s">
        <v>111</v>
      </c>
      <c r="DV258" s="287" t="s">
        <v>285</v>
      </c>
      <c r="DW258" s="288" t="s">
        <v>115</v>
      </c>
      <c r="DX258" s="295" t="s">
        <v>106</v>
      </c>
      <c r="DY258" s="287" t="s">
        <v>109</v>
      </c>
      <c r="DZ258" s="287" t="s">
        <v>111</v>
      </c>
      <c r="EA258" s="287" t="s">
        <v>285</v>
      </c>
      <c r="EB258" s="288" t="s">
        <v>115</v>
      </c>
      <c r="EC258" s="295" t="s">
        <v>106</v>
      </c>
      <c r="ED258" s="287" t="s">
        <v>109</v>
      </c>
      <c r="EE258" s="287" t="s">
        <v>111</v>
      </c>
      <c r="EF258" s="287" t="s">
        <v>285</v>
      </c>
      <c r="EG258" s="288" t="s">
        <v>115</v>
      </c>
      <c r="EH258" s="295" t="s">
        <v>106</v>
      </c>
      <c r="EI258" s="287" t="s">
        <v>109</v>
      </c>
      <c r="EJ258" s="287" t="s">
        <v>111</v>
      </c>
      <c r="EK258" s="287" t="s">
        <v>285</v>
      </c>
      <c r="EL258" s="288" t="s">
        <v>115</v>
      </c>
      <c r="EM258" s="295" t="s">
        <v>106</v>
      </c>
      <c r="EN258" s="287" t="s">
        <v>109</v>
      </c>
      <c r="EO258" s="287" t="s">
        <v>111</v>
      </c>
      <c r="EP258" s="287" t="s">
        <v>285</v>
      </c>
      <c r="EQ258" s="288" t="s">
        <v>115</v>
      </c>
      <c r="ER258" s="295" t="s">
        <v>106</v>
      </c>
      <c r="ES258" s="287" t="s">
        <v>109</v>
      </c>
      <c r="ET258" s="287" t="s">
        <v>111</v>
      </c>
      <c r="EU258" s="287" t="s">
        <v>285</v>
      </c>
      <c r="EV258" s="288" t="s">
        <v>115</v>
      </c>
      <c r="EW258" s="295" t="s">
        <v>106</v>
      </c>
      <c r="EX258" s="287" t="s">
        <v>109</v>
      </c>
      <c r="EY258" s="287" t="s">
        <v>111</v>
      </c>
      <c r="EZ258" s="287" t="s">
        <v>285</v>
      </c>
      <c r="FA258" s="288" t="s">
        <v>115</v>
      </c>
      <c r="FB258" s="295" t="s">
        <v>106</v>
      </c>
      <c r="FC258" s="287" t="s">
        <v>109</v>
      </c>
      <c r="FD258" s="287" t="s">
        <v>111</v>
      </c>
      <c r="FE258" s="287" t="s">
        <v>285</v>
      </c>
      <c r="FF258" s="288" t="s">
        <v>115</v>
      </c>
      <c r="FG258" s="295" t="s">
        <v>106</v>
      </c>
      <c r="FH258" s="287" t="s">
        <v>109</v>
      </c>
      <c r="FI258" s="287" t="s">
        <v>111</v>
      </c>
      <c r="FJ258" s="287" t="s">
        <v>285</v>
      </c>
      <c r="FK258" s="288" t="s">
        <v>115</v>
      </c>
      <c r="FL258" s="295" t="s">
        <v>106</v>
      </c>
      <c r="FM258" s="287" t="s">
        <v>109</v>
      </c>
      <c r="FN258" s="287" t="s">
        <v>111</v>
      </c>
      <c r="FO258" s="287" t="s">
        <v>285</v>
      </c>
      <c r="FP258" s="288" t="s">
        <v>115</v>
      </c>
      <c r="FQ258" s="295" t="s">
        <v>106</v>
      </c>
      <c r="FR258" s="287" t="s">
        <v>109</v>
      </c>
      <c r="FS258" s="287" t="s">
        <v>111</v>
      </c>
      <c r="FT258" s="287" t="s">
        <v>285</v>
      </c>
      <c r="FU258" s="288" t="s">
        <v>115</v>
      </c>
      <c r="FV258" s="295" t="s">
        <v>106</v>
      </c>
      <c r="FW258" s="287" t="s">
        <v>109</v>
      </c>
      <c r="FX258" s="287" t="s">
        <v>111</v>
      </c>
      <c r="FY258" s="287" t="s">
        <v>285</v>
      </c>
      <c r="FZ258" s="288" t="s">
        <v>115</v>
      </c>
      <c r="GA258" s="295" t="s">
        <v>106</v>
      </c>
      <c r="GB258" s="287" t="s">
        <v>109</v>
      </c>
      <c r="GC258" s="287" t="s">
        <v>111</v>
      </c>
      <c r="GD258" s="287" t="s">
        <v>285</v>
      </c>
      <c r="GE258" s="288" t="s">
        <v>115</v>
      </c>
      <c r="GF258" s="295" t="s">
        <v>106</v>
      </c>
      <c r="GG258" s="287" t="s">
        <v>109</v>
      </c>
      <c r="GH258" s="287" t="s">
        <v>111</v>
      </c>
      <c r="GI258" s="287" t="s">
        <v>285</v>
      </c>
      <c r="GJ258" s="288" t="s">
        <v>115</v>
      </c>
      <c r="GK258" s="295" t="s">
        <v>106</v>
      </c>
      <c r="GL258" s="287" t="s">
        <v>109</v>
      </c>
      <c r="GM258" s="287" t="s">
        <v>111</v>
      </c>
      <c r="GN258" s="287" t="s">
        <v>285</v>
      </c>
      <c r="GO258" s="288" t="s">
        <v>115</v>
      </c>
      <c r="GP258" s="295" t="s">
        <v>106</v>
      </c>
      <c r="GQ258" s="287" t="s">
        <v>109</v>
      </c>
      <c r="GR258" s="287" t="s">
        <v>111</v>
      </c>
      <c r="GS258" s="287" t="s">
        <v>285</v>
      </c>
      <c r="GT258" s="288" t="s">
        <v>115</v>
      </c>
      <c r="GU258" s="295" t="s">
        <v>106</v>
      </c>
      <c r="GV258" s="287" t="s">
        <v>109</v>
      </c>
      <c r="GW258" s="287" t="s">
        <v>111</v>
      </c>
      <c r="GX258" s="287" t="s">
        <v>285</v>
      </c>
      <c r="GY258" s="288" t="s">
        <v>115</v>
      </c>
      <c r="GZ258" s="295" t="s">
        <v>106</v>
      </c>
      <c r="HA258" s="287" t="s">
        <v>109</v>
      </c>
      <c r="HB258" s="287" t="s">
        <v>111</v>
      </c>
      <c r="HC258" s="287" t="s">
        <v>285</v>
      </c>
      <c r="HD258" s="288" t="s">
        <v>115</v>
      </c>
    </row>
    <row r="259" spans="2:212" s="286" customFormat="1" ht="60" x14ac:dyDescent="0.3">
      <c r="B259" s="293" t="s">
        <v>346</v>
      </c>
      <c r="C259" s="294" t="str">
        <f>CONCATENATE(C257," - ",C258)</f>
        <v>Gasoline passenger car - CO2eq</v>
      </c>
      <c r="D259" s="289" t="str">
        <f>CONCATENATE(C257," - ",D258)</f>
        <v>Gasoline passenger car - CO</v>
      </c>
      <c r="E259" s="289" t="str">
        <f>CONCATENATE(C257," - ",E258)</f>
        <v>Gasoline passenger car - PM2.5</v>
      </c>
      <c r="F259" s="289" t="str">
        <f>CONCATENATE(C257," - ",F258)</f>
        <v>Gasoline passenger car - NOX</v>
      </c>
      <c r="G259" s="290" t="str">
        <f>CONCATENATE(C257," - ",G258)</f>
        <v>Gasoline passenger car - VOC</v>
      </c>
      <c r="H259" s="294" t="str">
        <f>CONCATENATE(H257," - ",H258)</f>
        <v>Diesel passenger car - CO2eq</v>
      </c>
      <c r="I259" s="289" t="str">
        <f>CONCATENATE(H257," - ",I258)</f>
        <v>Diesel passenger car - CO</v>
      </c>
      <c r="J259" s="289" t="str">
        <f>CONCATENATE(H257," - ",J258)</f>
        <v>Diesel passenger car - PM2.5</v>
      </c>
      <c r="K259" s="289" t="str">
        <f>CONCATENATE(H257," - ",K258)</f>
        <v>Diesel passenger car - NOX</v>
      </c>
      <c r="L259" s="290" t="str">
        <f>CONCATENATE(H257," - ",L258)</f>
        <v>Diesel passenger car - VOC</v>
      </c>
      <c r="M259" s="294" t="str">
        <f>CONCATENATE(M257," - ",M258)</f>
        <v>E85 passenger car - CO2eq</v>
      </c>
      <c r="N259" s="289" t="str">
        <f>CONCATENATE(M257," - ",N258)</f>
        <v>E85 passenger car - CO</v>
      </c>
      <c r="O259" s="289" t="str">
        <f>CONCATENATE(M257," - ",O258)</f>
        <v>E85 passenger car - PM2.5</v>
      </c>
      <c r="P259" s="289" t="str">
        <f>CONCATENATE(M257," - ",P258)</f>
        <v>E85 passenger car - NOX</v>
      </c>
      <c r="Q259" s="290" t="str">
        <f>CONCATENATE(M257," - ",Q258)</f>
        <v>E85 passenger car - VOC</v>
      </c>
      <c r="R259" s="294" t="str">
        <f>CONCATENATE(R257," - ",R258)</f>
        <v>Electric passenger car - CO2eq</v>
      </c>
      <c r="S259" s="289" t="str">
        <f>CONCATENATE(R257," - ",S258)</f>
        <v>Electric passenger car - CO</v>
      </c>
      <c r="T259" s="289" t="str">
        <f>CONCATENATE(R257," - ",T258)</f>
        <v>Electric passenger car - PM2.5</v>
      </c>
      <c r="U259" s="289" t="str">
        <f>CONCATENATE(R257," - ",U258)</f>
        <v>Electric passenger car - NOX</v>
      </c>
      <c r="V259" s="290" t="str">
        <f>CONCATENATE(R257," - ",V258)</f>
        <v>Electric passenger car - VOC</v>
      </c>
      <c r="W259" s="294" t="str">
        <f>CONCATENATE(W257," - ",W258)</f>
        <v>Gasoline passenger truck - CO2eq</v>
      </c>
      <c r="X259" s="289" t="str">
        <f>CONCATENATE(W257," - ",X258)</f>
        <v>Gasoline passenger truck - CO</v>
      </c>
      <c r="Y259" s="289" t="str">
        <f>CONCATENATE(W257," - ",Y258)</f>
        <v>Gasoline passenger truck - PM2.5</v>
      </c>
      <c r="Z259" s="289" t="str">
        <f>CONCATENATE(W257," - ",Z258)</f>
        <v>Gasoline passenger truck - NOX</v>
      </c>
      <c r="AA259" s="290" t="str">
        <f>CONCATENATE(W257," - ",AA258)</f>
        <v>Gasoline passenger truck - VOC</v>
      </c>
      <c r="AB259" s="294" t="str">
        <f>CONCATENATE(AB257," - ",AB258)</f>
        <v>Diesel passenger truck - CO2eq</v>
      </c>
      <c r="AC259" s="289" t="str">
        <f>CONCATENATE(AB257," - ",AC258)</f>
        <v>Diesel passenger truck - CO</v>
      </c>
      <c r="AD259" s="289" t="str">
        <f>CONCATENATE(AB257," - ",AD258)</f>
        <v>Diesel passenger truck - PM2.5</v>
      </c>
      <c r="AE259" s="289" t="str">
        <f>CONCATENATE(AB257," - ",AE258)</f>
        <v>Diesel passenger truck - NOX</v>
      </c>
      <c r="AF259" s="290" t="str">
        <f>CONCATENATE(AB257," - ",AF258)</f>
        <v>Diesel passenger truck - VOC</v>
      </c>
      <c r="AG259" s="294" t="str">
        <f>CONCATENATE(AG257," - ",AG258)</f>
        <v>E85 passenger truck - CO2eq</v>
      </c>
      <c r="AH259" s="289" t="str">
        <f>CONCATENATE(AG257," - ",AH258)</f>
        <v>E85 passenger truck - CO</v>
      </c>
      <c r="AI259" s="289" t="str">
        <f>CONCATENATE(AG257," - ",AI258)</f>
        <v>E85 passenger truck - PM2.5</v>
      </c>
      <c r="AJ259" s="289" t="str">
        <f>CONCATENATE(AG257," - ",AJ258)</f>
        <v>E85 passenger truck - NOX</v>
      </c>
      <c r="AK259" s="290" t="str">
        <f>CONCATENATE(AG257," - ",AK258)</f>
        <v>E85 passenger truck - VOC</v>
      </c>
      <c r="AL259" s="294" t="str">
        <f>CONCATENATE(AL257," - ",AL258)</f>
        <v>Electric passenger truck - CO2eq</v>
      </c>
      <c r="AM259" s="289" t="str">
        <f>CONCATENATE(AL257," - ",AM258)</f>
        <v>Electric passenger truck - CO</v>
      </c>
      <c r="AN259" s="289" t="str">
        <f>CONCATENATE(AL257," - ",AN258)</f>
        <v>Electric passenger truck - PM2.5</v>
      </c>
      <c r="AO259" s="289" t="str">
        <f>CONCATENATE(AL257," - ",AO258)</f>
        <v>Electric passenger truck - NOX</v>
      </c>
      <c r="AP259" s="290" t="str">
        <f>CONCATENATE(AL257," - ",AP258)</f>
        <v>Electric passenger truck - VOC</v>
      </c>
      <c r="AQ259" s="294" t="str">
        <f>CONCATENATE(AQ257," - ",AQ258)</f>
        <v>Gasoline LD commercial truck - CO2eq</v>
      </c>
      <c r="AR259" s="289" t="str">
        <f>CONCATENATE(AQ257," - ",AR258)</f>
        <v>Gasoline LD commercial truck - CO</v>
      </c>
      <c r="AS259" s="289" t="str">
        <f>CONCATENATE(AQ257," - ",AS258)</f>
        <v>Gasoline LD commercial truck - PM2.5</v>
      </c>
      <c r="AT259" s="289" t="str">
        <f>CONCATENATE(AQ257," - ",AT258)</f>
        <v>Gasoline LD commercial truck - NOX</v>
      </c>
      <c r="AU259" s="290" t="str">
        <f>CONCATENATE(AQ257," - ",AU258)</f>
        <v>Gasoline LD commercial truck - VOC</v>
      </c>
      <c r="AV259" s="294" t="str">
        <f>CONCATENATE(AV257," - ",AV258)</f>
        <v>Diesel LD commercial truck - CO2eq</v>
      </c>
      <c r="AW259" s="289" t="str">
        <f>CONCATENATE(AV257," - ",AW258)</f>
        <v>Diesel LD commercial truck - CO</v>
      </c>
      <c r="AX259" s="289" t="str">
        <f>CONCATENATE(AV257," - ",AX258)</f>
        <v>Diesel LD commercial truck - PM2.5</v>
      </c>
      <c r="AY259" s="289" t="str">
        <f>CONCATENATE(AV257," - ",AY258)</f>
        <v>Diesel LD commercial truck - NOX</v>
      </c>
      <c r="AZ259" s="290" t="str">
        <f>CONCATENATE(AV257," - ",AZ258)</f>
        <v>Diesel LD commercial truck - VOC</v>
      </c>
      <c r="BA259" s="294" t="str">
        <f>CONCATENATE(BA257," - ",BA258)</f>
        <v>E85 LD commercial truck - CO2eq</v>
      </c>
      <c r="BB259" s="289" t="str">
        <f>CONCATENATE(BA257," - ",BB258)</f>
        <v>E85 LD commercial truck - CO</v>
      </c>
      <c r="BC259" s="289" t="str">
        <f>CONCATENATE(BA257," - ",BC258)</f>
        <v>E85 LD commercial truck - PM2.5</v>
      </c>
      <c r="BD259" s="289" t="str">
        <f>CONCATENATE(BA257," - ",BD258)</f>
        <v>E85 LD commercial truck - NOX</v>
      </c>
      <c r="BE259" s="290" t="str">
        <f>CONCATENATE(BA257," - ",BE258)</f>
        <v>E85 LD commercial truck - VOC</v>
      </c>
      <c r="BF259" s="294" t="str">
        <f>CONCATENATE(BF257," - ",BF258)</f>
        <v>Electric LD commercial truck - CO2eq</v>
      </c>
      <c r="BG259" s="289" t="str">
        <f>CONCATENATE(BF257," - ",BG258)</f>
        <v>Electric LD commercial truck - CO</v>
      </c>
      <c r="BH259" s="289" t="str">
        <f>CONCATENATE(BF257," - ",BH258)</f>
        <v>Electric LD commercial truck - PM2.5</v>
      </c>
      <c r="BI259" s="289" t="str">
        <f>CONCATENATE(BF257," - ",BI258)</f>
        <v>Electric LD commercial truck - NOX</v>
      </c>
      <c r="BJ259" s="290" t="str">
        <f>CONCATENATE(BF257," - ",BJ258)</f>
        <v>Electric LD commercial truck - VOC</v>
      </c>
      <c r="BK259" s="294" t="str">
        <f t="shared" ref="BK259" si="33">CONCATENATE(BK257," - ",BK258)</f>
        <v>Gasoline intercity bus - CO2eq</v>
      </c>
      <c r="BL259" s="289" t="str">
        <f t="shared" ref="BL259" si="34">CONCATENATE(BK257," - ",BL258)</f>
        <v>Gasoline intercity bus - CO</v>
      </c>
      <c r="BM259" s="289" t="str">
        <f t="shared" ref="BM259" si="35">CONCATENATE(BK257," - ",BM258)</f>
        <v>Gasoline intercity bus - PM2.5</v>
      </c>
      <c r="BN259" s="289" t="str">
        <f t="shared" ref="BN259" si="36">CONCATENATE(BK257," - ",BN258)</f>
        <v>Gasoline intercity bus - NOX</v>
      </c>
      <c r="BO259" s="290" t="str">
        <f t="shared" ref="BO259" si="37">CONCATENATE(BK257," - ",BO258)</f>
        <v>Gasoline intercity bus - VOC</v>
      </c>
      <c r="BP259" s="294" t="str">
        <f t="shared" ref="BP259" si="38">CONCATENATE(BP257," - ",BP258)</f>
        <v>Diesel intercity bus - CO2eq</v>
      </c>
      <c r="BQ259" s="289" t="str">
        <f t="shared" ref="BQ259" si="39">CONCATENATE(BP257," - ",BQ258)</f>
        <v>Diesel intercity bus - CO</v>
      </c>
      <c r="BR259" s="289" t="str">
        <f t="shared" ref="BR259" si="40">CONCATENATE(BP257," - ",BR258)</f>
        <v>Diesel intercity bus - PM2.5</v>
      </c>
      <c r="BS259" s="289" t="str">
        <f t="shared" ref="BS259" si="41">CONCATENATE(BP257," - ",BS258)</f>
        <v>Diesel intercity bus - NOX</v>
      </c>
      <c r="BT259" s="290" t="str">
        <f t="shared" ref="BT259" si="42">CONCATENATE(BP257," - ",BT258)</f>
        <v>Diesel intercity bus - VOC</v>
      </c>
      <c r="BU259" s="294" t="str">
        <f t="shared" ref="BU259" si="43">CONCATENATE(BU257," - ",BU258)</f>
        <v>CNG intercity bus - CO2eq</v>
      </c>
      <c r="BV259" s="289" t="str">
        <f t="shared" ref="BV259" si="44">CONCATENATE(BU257," - ",BV258)</f>
        <v>CNG intercity bus - CO</v>
      </c>
      <c r="BW259" s="289" t="str">
        <f t="shared" ref="BW259" si="45">CONCATENATE(BU257," - ",BW258)</f>
        <v>CNG intercity bus - PM2.5</v>
      </c>
      <c r="BX259" s="289" t="str">
        <f t="shared" ref="BX259" si="46">CONCATENATE(BU257," - ",BX258)</f>
        <v>CNG intercity bus - NOX</v>
      </c>
      <c r="BY259" s="290" t="str">
        <f t="shared" ref="BY259" si="47">CONCATENATE(BU257," - ",BY258)</f>
        <v>CNG intercity bus - VOC</v>
      </c>
      <c r="BZ259" s="294" t="str">
        <f t="shared" ref="BZ259" si="48">CONCATENATE(BZ257," - ",BZ258)</f>
        <v>Electric intercity bus - CO2eq</v>
      </c>
      <c r="CA259" s="289" t="str">
        <f t="shared" ref="CA259" si="49">CONCATENATE(BZ257," - ",CA258)</f>
        <v>Electric intercity bus - CO</v>
      </c>
      <c r="CB259" s="289" t="str">
        <f t="shared" ref="CB259" si="50">CONCATENATE(BZ257," - ",CB258)</f>
        <v>Electric intercity bus - PM2.5</v>
      </c>
      <c r="CC259" s="289" t="str">
        <f t="shared" ref="CC259" si="51">CONCATENATE(BZ257," - ",CC258)</f>
        <v>Electric intercity bus - NOX</v>
      </c>
      <c r="CD259" s="290" t="str">
        <f t="shared" ref="CD259" si="52">CONCATENATE(BZ257," - ",CD258)</f>
        <v>Electric intercity bus - VOC</v>
      </c>
      <c r="CE259" s="294" t="str">
        <f t="shared" ref="CE259" si="53">CONCATENATE(CE257," - ",CE258)</f>
        <v>Gasoline transit bus - CO2eq</v>
      </c>
      <c r="CF259" s="289" t="str">
        <f t="shared" ref="CF259" si="54">CONCATENATE(CE257," - ",CF258)</f>
        <v>Gasoline transit bus - CO</v>
      </c>
      <c r="CG259" s="289" t="str">
        <f t="shared" ref="CG259" si="55">CONCATENATE(CE257," - ",CG258)</f>
        <v>Gasoline transit bus - PM2.5</v>
      </c>
      <c r="CH259" s="289" t="str">
        <f t="shared" ref="CH259" si="56">CONCATENATE(CE257," - ",CH258)</f>
        <v>Gasoline transit bus - NOX</v>
      </c>
      <c r="CI259" s="290" t="str">
        <f t="shared" ref="CI259" si="57">CONCATENATE(CE257," - ",CI258)</f>
        <v>Gasoline transit bus - VOC</v>
      </c>
      <c r="CJ259" s="294" t="str">
        <f t="shared" ref="CJ259" si="58">CONCATENATE(CJ257," - ",CJ258)</f>
        <v>Diesel transit bus - CO2eq</v>
      </c>
      <c r="CK259" s="289" t="str">
        <f t="shared" ref="CK259" si="59">CONCATENATE(CJ257," - ",CK258)</f>
        <v>Diesel transit bus - CO</v>
      </c>
      <c r="CL259" s="289" t="str">
        <f t="shared" ref="CL259" si="60">CONCATENATE(CJ257," - ",CL258)</f>
        <v>Diesel transit bus - PM2.5</v>
      </c>
      <c r="CM259" s="289" t="str">
        <f t="shared" ref="CM259" si="61">CONCATENATE(CJ257," - ",CM258)</f>
        <v>Diesel transit bus - NOX</v>
      </c>
      <c r="CN259" s="290" t="str">
        <f t="shared" ref="CN259" si="62">CONCATENATE(CJ257," - ",CN258)</f>
        <v>Diesel transit bus - VOC</v>
      </c>
      <c r="CO259" s="294" t="s">
        <v>347</v>
      </c>
      <c r="CP259" s="289" t="s">
        <v>348</v>
      </c>
      <c r="CQ259" s="289" t="s">
        <v>349</v>
      </c>
      <c r="CR259" s="289" t="s">
        <v>350</v>
      </c>
      <c r="CS259" s="290" t="s">
        <v>351</v>
      </c>
      <c r="CT259" s="294" t="s">
        <v>352</v>
      </c>
      <c r="CU259" s="289" t="s">
        <v>353</v>
      </c>
      <c r="CV259" s="289" t="s">
        <v>354</v>
      </c>
      <c r="CW259" s="289" t="s">
        <v>355</v>
      </c>
      <c r="CX259" s="290" t="s">
        <v>356</v>
      </c>
      <c r="CY259" s="294" t="str">
        <f t="shared" ref="CY259" si="63">CONCATENATE(CY257," - ",CY258)</f>
        <v>Gasoline school bus - CO2eq</v>
      </c>
      <c r="CZ259" s="289" t="str">
        <f t="shared" ref="CZ259" si="64">CONCATENATE(CY257," - ",CZ258)</f>
        <v>Gasoline school bus - CO</v>
      </c>
      <c r="DA259" s="289" t="str">
        <f t="shared" ref="DA259" si="65">CONCATENATE(CY257," - ",DA258)</f>
        <v>Gasoline school bus - PM2.5</v>
      </c>
      <c r="DB259" s="289" t="str">
        <f t="shared" ref="DB259" si="66">CONCATENATE(CY257," - ",DB258)</f>
        <v>Gasoline school bus - NOX</v>
      </c>
      <c r="DC259" s="290" t="str">
        <f t="shared" ref="DC259" si="67">CONCATENATE(CY257," - ",DC258)</f>
        <v>Gasoline school bus - VOC</v>
      </c>
      <c r="DD259" s="294" t="str">
        <f t="shared" ref="DD259" si="68">CONCATENATE(DD257," - ",DD258)</f>
        <v>Diesel school bus - CO2eq</v>
      </c>
      <c r="DE259" s="289" t="str">
        <f t="shared" ref="DE259" si="69">CONCATENATE(DD257," - ",DE258)</f>
        <v>Diesel school bus - CO</v>
      </c>
      <c r="DF259" s="289" t="str">
        <f t="shared" ref="DF259" si="70">CONCATENATE(DD257," - ",DF258)</f>
        <v>Diesel school bus - PM2.5</v>
      </c>
      <c r="DG259" s="289" t="str">
        <f t="shared" ref="DG259" si="71">CONCATENATE(DD257," - ",DG258)</f>
        <v>Diesel school bus - NOX</v>
      </c>
      <c r="DH259" s="290" t="str">
        <f t="shared" ref="DH259" si="72">CONCATENATE(DD257," - ",DH258)</f>
        <v>Diesel school bus - VOC</v>
      </c>
      <c r="DI259" s="294" t="str">
        <f>CONCATENATE(DI257," - ",DI258)</f>
        <v>CNG school bus - CO2eq</v>
      </c>
      <c r="DJ259" s="289" t="str">
        <f t="shared" ref="DJ259" si="73">CONCATENATE(DI257," - ",DJ258)</f>
        <v>CNG school bus - CO</v>
      </c>
      <c r="DK259" s="289" t="str">
        <f t="shared" ref="DK259" si="74">CONCATENATE(DI257," - ",DK258)</f>
        <v>CNG school bus - PM2.5</v>
      </c>
      <c r="DL259" s="289" t="str">
        <f t="shared" ref="DL259" si="75">CONCATENATE(DI257," - ",DL258)</f>
        <v>CNG school bus - NOX</v>
      </c>
      <c r="DM259" s="290" t="str">
        <f t="shared" ref="DM259" si="76">CONCATENATE(DI257," - ",DM258)</f>
        <v>CNG school bus - VOC</v>
      </c>
      <c r="DN259" s="294" t="str">
        <f>CONCATENATE(DN257," - ",DN258)</f>
        <v>Electric school bus - CO2eq</v>
      </c>
      <c r="DO259" s="289" t="str">
        <f t="shared" ref="DO259" si="77">CONCATENATE(DN257," - ",DO258)</f>
        <v>Electric school bus - CO</v>
      </c>
      <c r="DP259" s="289" t="str">
        <f t="shared" ref="DP259" si="78">CONCATENATE(DN257," - ",DP258)</f>
        <v>Electric school bus - PM2.5</v>
      </c>
      <c r="DQ259" s="289" t="str">
        <f t="shared" ref="DQ259" si="79">CONCATENATE(DN257," - ",DQ258)</f>
        <v>Electric school bus - NOX</v>
      </c>
      <c r="DR259" s="290" t="str">
        <f t="shared" ref="DR259" si="80">CONCATENATE(DN257," - ",DR258)</f>
        <v>Electric school bus - VOC</v>
      </c>
      <c r="DS259" s="294" t="str">
        <f t="shared" ref="DS259" si="81">CONCATENATE(DS257," - ",DS258)</f>
        <v>Gasoline refuse truck - CO2eq</v>
      </c>
      <c r="DT259" s="289" t="str">
        <f t="shared" ref="DT259" si="82">CONCATENATE(DS257," - ",DT258)</f>
        <v>Gasoline refuse truck - CO</v>
      </c>
      <c r="DU259" s="289" t="str">
        <f t="shared" ref="DU259" si="83">CONCATENATE(DS257," - ",DU258)</f>
        <v>Gasoline refuse truck - PM2.5</v>
      </c>
      <c r="DV259" s="289" t="str">
        <f t="shared" ref="DV259" si="84">CONCATENATE(DS257," - ",DV258)</f>
        <v>Gasoline refuse truck - NOX</v>
      </c>
      <c r="DW259" s="290" t="str">
        <f t="shared" ref="DW259" si="85">CONCATENATE(DS257," - ",DW258)</f>
        <v>Gasoline refuse truck - VOC</v>
      </c>
      <c r="DX259" s="294" t="str">
        <f t="shared" ref="DX259" si="86">CONCATENATE(DX257," - ",DX258)</f>
        <v>Diesel refuse truck - CO2eq</v>
      </c>
      <c r="DY259" s="289" t="str">
        <f t="shared" ref="DY259" si="87">CONCATENATE(DX257," - ",DY258)</f>
        <v>Diesel refuse truck - CO</v>
      </c>
      <c r="DZ259" s="289" t="str">
        <f t="shared" ref="DZ259" si="88">CONCATENATE(DX257," - ",DZ258)</f>
        <v>Diesel refuse truck - PM2.5</v>
      </c>
      <c r="EA259" s="289" t="str">
        <f t="shared" ref="EA259" si="89">CONCATENATE(DX257," - ",EA258)</f>
        <v>Diesel refuse truck - NOX</v>
      </c>
      <c r="EB259" s="290" t="str">
        <f t="shared" ref="EB259" si="90">CONCATENATE(DX257," - ",EB258)</f>
        <v>Diesel refuse truck - VOC</v>
      </c>
      <c r="EC259" s="294" t="str">
        <f t="shared" ref="EC259" si="91">CONCATENATE(EC257," - ",EC258)</f>
        <v>CNG refuse truck - CO2eq</v>
      </c>
      <c r="ED259" s="289" t="str">
        <f t="shared" ref="ED259" si="92">CONCATENATE(EC257," - ",ED258)</f>
        <v>CNG refuse truck - CO</v>
      </c>
      <c r="EE259" s="289" t="str">
        <f t="shared" ref="EE259" si="93">CONCATENATE(EC257," - ",EE258)</f>
        <v>CNG refuse truck - PM2.5</v>
      </c>
      <c r="EF259" s="289" t="str">
        <f t="shared" ref="EF259" si="94">CONCATENATE(EC257," - ",EF258)</f>
        <v>CNG refuse truck - NOX</v>
      </c>
      <c r="EG259" s="290" t="str">
        <f t="shared" ref="EG259" si="95">CONCATENATE(EC257," - ",EG258)</f>
        <v>CNG refuse truck - VOC</v>
      </c>
      <c r="EH259" s="294" t="str">
        <f t="shared" ref="EH259" si="96">CONCATENATE(EH257," - ",EH258)</f>
        <v>Electric refuse truck - CO2eq</v>
      </c>
      <c r="EI259" s="289" t="str">
        <f t="shared" ref="EI259" si="97">CONCATENATE(EH257," - ",EI258)</f>
        <v>Electric refuse truck - CO</v>
      </c>
      <c r="EJ259" s="289" t="str">
        <f t="shared" ref="EJ259" si="98">CONCATENATE(EH257," - ",EJ258)</f>
        <v>Electric refuse truck - PM2.5</v>
      </c>
      <c r="EK259" s="289" t="str">
        <f t="shared" ref="EK259" si="99">CONCATENATE(EH257," - ",EK258)</f>
        <v>Electric refuse truck - NOX</v>
      </c>
      <c r="EL259" s="290" t="str">
        <f t="shared" ref="EL259" si="100">CONCATENATE(EH257," - ",EL258)</f>
        <v>Electric refuse truck - VOC</v>
      </c>
      <c r="EM259" s="294" t="str">
        <f t="shared" ref="EM259" si="101">CONCATENATE(EM257," - ",EM258)</f>
        <v>Gasoline single-unit short haul truck - CO2eq</v>
      </c>
      <c r="EN259" s="289" t="str">
        <f t="shared" ref="EN259" si="102">CONCATENATE(EM257," - ",EN258)</f>
        <v>Gasoline single-unit short haul truck - CO</v>
      </c>
      <c r="EO259" s="289" t="str">
        <f t="shared" ref="EO259" si="103">CONCATENATE(EM257," - ",EO258)</f>
        <v>Gasoline single-unit short haul truck - PM2.5</v>
      </c>
      <c r="EP259" s="289" t="str">
        <f t="shared" ref="EP259" si="104">CONCATENATE(EM257," - ",EP258)</f>
        <v>Gasoline single-unit short haul truck - NOX</v>
      </c>
      <c r="EQ259" s="290" t="str">
        <f t="shared" ref="EQ259" si="105">CONCATENATE(EM257," - ",EQ258)</f>
        <v>Gasoline single-unit short haul truck - VOC</v>
      </c>
      <c r="ER259" s="294" t="str">
        <f t="shared" ref="ER259" si="106">CONCATENATE(ER257," - ",ER258)</f>
        <v>Diesel single-unit short haul truck - CO2eq</v>
      </c>
      <c r="ES259" s="289" t="str">
        <f t="shared" ref="ES259" si="107">CONCATENATE(ER257," - ",ES258)</f>
        <v>Diesel single-unit short haul truck - CO</v>
      </c>
      <c r="ET259" s="289" t="str">
        <f t="shared" ref="ET259" si="108">CONCATENATE(ER257," - ",ET258)</f>
        <v>Diesel single-unit short haul truck - PM2.5</v>
      </c>
      <c r="EU259" s="289" t="str">
        <f t="shared" ref="EU259" si="109">CONCATENATE(ER257," - ",EU258)</f>
        <v>Diesel single-unit short haul truck - NOX</v>
      </c>
      <c r="EV259" s="290" t="str">
        <f t="shared" ref="EV259" si="110">CONCATENATE(ER257," - ",EV258)</f>
        <v>Diesel single-unit short haul truck - VOC</v>
      </c>
      <c r="EW259" s="294" t="str">
        <f t="shared" ref="EW259" si="111">CONCATENATE(EW257," - ",EW258)</f>
        <v>CNG single-unit short haul truck - CO2eq</v>
      </c>
      <c r="EX259" s="289" t="str">
        <f t="shared" ref="EX259" si="112">CONCATENATE(EW257," - ",EX258)</f>
        <v>CNG single-unit short haul truck - CO</v>
      </c>
      <c r="EY259" s="289" t="str">
        <f t="shared" ref="EY259" si="113">CONCATENATE(EW257," - ",EY258)</f>
        <v>CNG single-unit short haul truck - PM2.5</v>
      </c>
      <c r="EZ259" s="289" t="str">
        <f t="shared" ref="EZ259" si="114">CONCATENATE(EW257," - ",EZ258)</f>
        <v>CNG single-unit short haul truck - NOX</v>
      </c>
      <c r="FA259" s="290" t="str">
        <f t="shared" ref="FA259" si="115">CONCATENATE(EW257," - ",FA258)</f>
        <v>CNG single-unit short haul truck - VOC</v>
      </c>
      <c r="FB259" s="294" t="str">
        <f t="shared" ref="FB259" si="116">CONCATENATE(FB257," - ",FB258)</f>
        <v>Electric single-unit short haul truck - CO2eq</v>
      </c>
      <c r="FC259" s="289" t="str">
        <f t="shared" ref="FC259" si="117">CONCATENATE(FB257," - ",FC258)</f>
        <v>Electric single-unit short haul truck - CO</v>
      </c>
      <c r="FD259" s="289" t="str">
        <f t="shared" ref="FD259" si="118">CONCATENATE(FB257," - ",FD258)</f>
        <v>Electric single-unit short haul truck - PM2.5</v>
      </c>
      <c r="FE259" s="289" t="str">
        <f t="shared" ref="FE259" si="119">CONCATENATE(FB257," - ",FE258)</f>
        <v>Electric single-unit short haul truck - NOX</v>
      </c>
      <c r="FF259" s="290" t="str">
        <f t="shared" ref="FF259" si="120">CONCATENATE(FB257," - ",FF258)</f>
        <v>Electric single-unit short haul truck - VOC</v>
      </c>
      <c r="FG259" s="294" t="str">
        <f t="shared" ref="FG259" si="121">CONCATENATE(FG257," - ",FG258)</f>
        <v>Gasoline single-unit long haul truck - CO2eq</v>
      </c>
      <c r="FH259" s="289" t="str">
        <f t="shared" ref="FH259" si="122">CONCATENATE(FG257," - ",FH258)</f>
        <v>Gasoline single-unit long haul truck - CO</v>
      </c>
      <c r="FI259" s="289" t="str">
        <f t="shared" ref="FI259" si="123">CONCATENATE(FG257," - ",FI258)</f>
        <v>Gasoline single-unit long haul truck - PM2.5</v>
      </c>
      <c r="FJ259" s="289" t="str">
        <f t="shared" ref="FJ259" si="124">CONCATENATE(FG257," - ",FJ258)</f>
        <v>Gasoline single-unit long haul truck - NOX</v>
      </c>
      <c r="FK259" s="290" t="str">
        <f t="shared" ref="FK259" si="125">CONCATENATE(FG257," - ",FK258)</f>
        <v>Gasoline single-unit long haul truck - VOC</v>
      </c>
      <c r="FL259" s="294" t="str">
        <f t="shared" ref="FL259" si="126">CONCATENATE(FL257," - ",FL258)</f>
        <v>Diesel single-unit long haul truck - CO2eq</v>
      </c>
      <c r="FM259" s="289" t="str">
        <f t="shared" ref="FM259" si="127">CONCATENATE(FL257," - ",FM258)</f>
        <v>Diesel single-unit long haul truck - CO</v>
      </c>
      <c r="FN259" s="289" t="str">
        <f t="shared" ref="FN259" si="128">CONCATENATE(FL257," - ",FN258)</f>
        <v>Diesel single-unit long haul truck - PM2.5</v>
      </c>
      <c r="FO259" s="289" t="str">
        <f t="shared" ref="FO259" si="129">CONCATENATE(FL257," - ",FO258)</f>
        <v>Diesel single-unit long haul truck - NOX</v>
      </c>
      <c r="FP259" s="290" t="str">
        <f t="shared" ref="FP259" si="130">CONCATENATE(FL257," - ",FP258)</f>
        <v>Diesel single-unit long haul truck - VOC</v>
      </c>
      <c r="FQ259" s="294" t="str">
        <f t="shared" ref="FQ259" si="131">CONCATENATE(FQ257," - ",FQ258)</f>
        <v>CNG single-unit long haul truck - CO2eq</v>
      </c>
      <c r="FR259" s="289" t="str">
        <f t="shared" ref="FR259" si="132">CONCATENATE(FQ257," - ",FR258)</f>
        <v>CNG single-unit long haul truck - CO</v>
      </c>
      <c r="FS259" s="289" t="str">
        <f t="shared" ref="FS259" si="133">CONCATENATE(FQ257," - ",FS258)</f>
        <v>CNG single-unit long haul truck - PM2.5</v>
      </c>
      <c r="FT259" s="289" t="str">
        <f t="shared" ref="FT259" si="134">CONCATENATE(FQ257," - ",FT258)</f>
        <v>CNG single-unit long haul truck - NOX</v>
      </c>
      <c r="FU259" s="290" t="str">
        <f t="shared" ref="FU259" si="135">CONCATENATE(FQ257," - ",FU258)</f>
        <v>CNG single-unit long haul truck - VOC</v>
      </c>
      <c r="FV259" s="294" t="str">
        <f t="shared" ref="FV259" si="136">CONCATENATE(FV257," - ",FV258)</f>
        <v>Electric single-unit long haul truck - CO2eq</v>
      </c>
      <c r="FW259" s="289" t="str">
        <f t="shared" ref="FW259" si="137">CONCATENATE(FV257," - ",FW258)</f>
        <v>Electric single-unit long haul truck - CO</v>
      </c>
      <c r="FX259" s="289" t="str">
        <f t="shared" ref="FX259" si="138">CONCATENATE(FV257," - ",FX258)</f>
        <v>Electric single-unit long haul truck - PM2.5</v>
      </c>
      <c r="FY259" s="289" t="str">
        <f t="shared" ref="FY259" si="139">CONCATENATE(FV257," - ",FY258)</f>
        <v>Electric single-unit long haul truck - NOX</v>
      </c>
      <c r="FZ259" s="290" t="str">
        <f t="shared" ref="FZ259" si="140">CONCATENATE(FV257," - ",FZ258)</f>
        <v>Electric single-unit long haul truck - VOC</v>
      </c>
      <c r="GA259" s="294" t="str">
        <f t="shared" ref="GA259" si="141">CONCATENATE(GA257," - ",GA258)</f>
        <v>Diesel combination short haul truck - CO2eq</v>
      </c>
      <c r="GB259" s="289" t="str">
        <f t="shared" ref="GB259" si="142">CONCATENATE(GA257," - ",GB258)</f>
        <v>Diesel combination short haul truck - CO</v>
      </c>
      <c r="GC259" s="289" t="str">
        <f t="shared" ref="GC259" si="143">CONCATENATE(GA257," - ",GC258)</f>
        <v>Diesel combination short haul truck - PM2.5</v>
      </c>
      <c r="GD259" s="289" t="str">
        <f t="shared" ref="GD259" si="144">CONCATENATE(GA257," - ",GD258)</f>
        <v>Diesel combination short haul truck - NOX</v>
      </c>
      <c r="GE259" s="290" t="str">
        <f t="shared" ref="GE259" si="145">CONCATENATE(GA257," - ",GE258)</f>
        <v>Diesel combination short haul truck - VOC</v>
      </c>
      <c r="GF259" s="294" t="str">
        <f t="shared" ref="GF259" si="146">CONCATENATE(GF257," - ",GF258)</f>
        <v>CNG combination short haul truck - CO2eq</v>
      </c>
      <c r="GG259" s="289" t="str">
        <f t="shared" ref="GG259" si="147">CONCATENATE(GF257," - ",GG258)</f>
        <v>CNG combination short haul truck - CO</v>
      </c>
      <c r="GH259" s="289" t="str">
        <f t="shared" ref="GH259" si="148">CONCATENATE(GF257," - ",GH258)</f>
        <v>CNG combination short haul truck - PM2.5</v>
      </c>
      <c r="GI259" s="289" t="str">
        <f t="shared" ref="GI259" si="149">CONCATENATE(GF257," - ",GI258)</f>
        <v>CNG combination short haul truck - NOX</v>
      </c>
      <c r="GJ259" s="290" t="str">
        <f t="shared" ref="GJ259" si="150">CONCATENATE(GF257," - ",GJ258)</f>
        <v>CNG combination short haul truck - VOC</v>
      </c>
      <c r="GK259" s="294" t="str">
        <f t="shared" ref="GK259" si="151">CONCATENATE(GK257," - ",GK258)</f>
        <v>Electric combination short haul truck - CO2eq</v>
      </c>
      <c r="GL259" s="289" t="str">
        <f t="shared" ref="GL259" si="152">CONCATENATE(GK257," - ",GL258)</f>
        <v>Electric combination short haul truck - CO</v>
      </c>
      <c r="GM259" s="289" t="str">
        <f t="shared" ref="GM259" si="153">CONCATENATE(GK257," - ",GM258)</f>
        <v>Electric combination short haul truck - PM2.5</v>
      </c>
      <c r="GN259" s="289" t="str">
        <f t="shared" ref="GN259" si="154">CONCATENATE(GK257," - ",GN258)</f>
        <v>Electric combination short haul truck - NOX</v>
      </c>
      <c r="GO259" s="290" t="str">
        <f t="shared" ref="GO259" si="155">CONCATENATE(GK257," - ",GO258)</f>
        <v>Electric combination short haul truck - VOC</v>
      </c>
      <c r="GP259" s="294" t="str">
        <f t="shared" ref="GP259" si="156">CONCATENATE(GP257," - ",GP258)</f>
        <v>Diesel combination long haul truck - CO2eq</v>
      </c>
      <c r="GQ259" s="289" t="str">
        <f t="shared" ref="GQ259" si="157">CONCATENATE(GP257," - ",GQ258)</f>
        <v>Diesel combination long haul truck - CO</v>
      </c>
      <c r="GR259" s="289" t="str">
        <f t="shared" ref="GR259" si="158">CONCATENATE(GP257," - ",GR258)</f>
        <v>Diesel combination long haul truck - PM2.5</v>
      </c>
      <c r="GS259" s="289" t="str">
        <f t="shared" ref="GS259" si="159">CONCATENATE(GP257," - ",GS258)</f>
        <v>Diesel combination long haul truck - NOX</v>
      </c>
      <c r="GT259" s="290" t="str">
        <f t="shared" ref="GT259" si="160">CONCATENATE(GP257," - ",GT258)</f>
        <v>Diesel combination long haul truck - VOC</v>
      </c>
      <c r="GU259" s="294" t="str">
        <f t="shared" ref="GU259" si="161">CONCATENATE(GU257," - ",GU258)</f>
        <v>CNG combination long haul truck - CO2eq</v>
      </c>
      <c r="GV259" s="289" t="str">
        <f t="shared" ref="GV259" si="162">CONCATENATE(GU257," - ",GV258)</f>
        <v>CNG combination long haul truck - CO</v>
      </c>
      <c r="GW259" s="289" t="str">
        <f t="shared" ref="GW259" si="163">CONCATENATE(GU257," - ",GW258)</f>
        <v>CNG combination long haul truck - PM2.5</v>
      </c>
      <c r="GX259" s="289" t="str">
        <f t="shared" ref="GX259" si="164">CONCATENATE(GU257," - ",GX258)</f>
        <v>CNG combination long haul truck - NOX</v>
      </c>
      <c r="GY259" s="290" t="str">
        <f t="shared" ref="GY259" si="165">CONCATENATE(GU257," - ",GY258)</f>
        <v>CNG combination long haul truck - VOC</v>
      </c>
      <c r="GZ259" s="294" t="str">
        <f t="shared" ref="GZ259" si="166">CONCATENATE(GZ257," - ",GZ258)</f>
        <v>Electric combination long haul truck - CO2eq</v>
      </c>
      <c r="HA259" s="289" t="str">
        <f t="shared" ref="HA259" si="167">CONCATENATE(GZ257," - ",HA258)</f>
        <v>Electric combination long haul truck - CO</v>
      </c>
      <c r="HB259" s="289" t="str">
        <f t="shared" ref="HB259" si="168">CONCATENATE(GZ257," - ",HB258)</f>
        <v>Electric combination long haul truck - PM2.5</v>
      </c>
      <c r="HC259" s="289" t="str">
        <f t="shared" ref="HC259" si="169">CONCATENATE(GZ257," - ",HC258)</f>
        <v>Electric combination long haul truck - NOX</v>
      </c>
      <c r="HD259" s="290" t="str">
        <f t="shared" ref="HD259" si="170">CONCATENATE(GZ257," - ",HD258)</f>
        <v>Electric combination long haul truck - VOC</v>
      </c>
    </row>
    <row r="260" spans="2:212" x14ac:dyDescent="0.35">
      <c r="B260" s="485">
        <v>1990</v>
      </c>
      <c r="C260" s="485">
        <v>419.42245419507361</v>
      </c>
      <c r="D260" s="485">
        <v>18.454577995321696</v>
      </c>
      <c r="E260" s="485">
        <v>4.6277335197995491E-2</v>
      </c>
      <c r="F260" s="485">
        <v>3.583639254468113</v>
      </c>
      <c r="G260" s="485">
        <v>3.1265139974527383</v>
      </c>
      <c r="H260" s="485">
        <v>435.4757029650354</v>
      </c>
      <c r="I260" s="485">
        <v>18.700120351990495</v>
      </c>
      <c r="J260" s="485">
        <v>4.3330233357820533E-2</v>
      </c>
      <c r="K260" s="485">
        <v>3.4144484909110799</v>
      </c>
      <c r="L260" s="485">
        <v>1.83589927945107</v>
      </c>
      <c r="M260" s="396">
        <v>390.27629215524024</v>
      </c>
      <c r="N260" s="396">
        <v>13.524255450833181</v>
      </c>
      <c r="O260" s="396">
        <v>1.9016730912833759E-2</v>
      </c>
      <c r="P260" s="396">
        <v>1.4756167295673641</v>
      </c>
      <c r="Q260" s="396">
        <v>1.2134789131297636</v>
      </c>
      <c r="R260" s="485">
        <v>0</v>
      </c>
      <c r="S260" s="485">
        <v>0</v>
      </c>
      <c r="T260" s="485">
        <v>0</v>
      </c>
      <c r="U260" s="485">
        <v>0</v>
      </c>
      <c r="V260" s="485">
        <v>0</v>
      </c>
      <c r="W260" s="485">
        <v>581.09585983707177</v>
      </c>
      <c r="X260" s="485">
        <v>34.702015612628273</v>
      </c>
      <c r="Y260" s="485">
        <v>5.76989175315255E-2</v>
      </c>
      <c r="Z260" s="485">
        <v>5.6418660757462229</v>
      </c>
      <c r="AA260" s="485">
        <v>3.6001509185305633</v>
      </c>
      <c r="AB260" s="485">
        <v>545.02781350750888</v>
      </c>
      <c r="AC260" s="485">
        <v>26.825952591751165</v>
      </c>
      <c r="AD260" s="485">
        <v>0.25973806858994702</v>
      </c>
      <c r="AE260" s="485">
        <v>6.3492307435310629</v>
      </c>
      <c r="AF260" s="485">
        <v>2.3632226918129726</v>
      </c>
      <c r="AG260" s="396">
        <v>557.49008884218574</v>
      </c>
      <c r="AH260" s="396">
        <v>15.321097630875048</v>
      </c>
      <c r="AI260" s="396">
        <v>2.2445428926251433E-2</v>
      </c>
      <c r="AJ260" s="396">
        <v>3.0285930932365304</v>
      </c>
      <c r="AK260" s="396">
        <v>1.3279279709591134</v>
      </c>
      <c r="AL260" s="485">
        <v>0</v>
      </c>
      <c r="AM260" s="485">
        <v>0</v>
      </c>
      <c r="AN260" s="485">
        <v>0</v>
      </c>
      <c r="AO260" s="485">
        <v>0</v>
      </c>
      <c r="AP260" s="485">
        <v>0</v>
      </c>
      <c r="AQ260" s="485">
        <v>575.21561146218357</v>
      </c>
      <c r="AR260" s="485">
        <v>34.084893287230237</v>
      </c>
      <c r="AS260" s="485">
        <v>6.3468959898255239E-2</v>
      </c>
      <c r="AT260" s="485">
        <v>5.2571638647112584</v>
      </c>
      <c r="AU260" s="485">
        <v>3.4775346766821675</v>
      </c>
      <c r="AV260" s="485">
        <v>552.70175769823641</v>
      </c>
      <c r="AW260" s="485">
        <v>17.334027254197373</v>
      </c>
      <c r="AX260" s="485">
        <v>0.48987624939913327</v>
      </c>
      <c r="AY260" s="485">
        <v>7.1668651959353458</v>
      </c>
      <c r="AZ260" s="485">
        <v>1.9677500692471748</v>
      </c>
      <c r="BA260" s="485">
        <v>0</v>
      </c>
      <c r="BB260" s="485">
        <v>0</v>
      </c>
      <c r="BC260" s="485">
        <v>0</v>
      </c>
      <c r="BD260" s="485">
        <v>0</v>
      </c>
      <c r="BE260" s="485">
        <v>0</v>
      </c>
      <c r="BF260" s="485">
        <v>0</v>
      </c>
      <c r="BG260" s="485">
        <v>0</v>
      </c>
      <c r="BH260" s="485">
        <v>0</v>
      </c>
      <c r="BI260" s="485">
        <v>0</v>
      </c>
      <c r="BJ260" s="485">
        <v>0</v>
      </c>
      <c r="BK260" s="485">
        <v>1571.087883326016</v>
      </c>
      <c r="BL260" s="485">
        <v>159.31768848694927</v>
      </c>
      <c r="BM260" s="485">
        <v>9.9861102400266771E-2</v>
      </c>
      <c r="BN260" s="485">
        <v>8.6320116135526117</v>
      </c>
      <c r="BO260" s="485">
        <v>4.399229638422625</v>
      </c>
      <c r="BP260" s="485">
        <v>1796.5775310240867</v>
      </c>
      <c r="BQ260" s="485">
        <v>6.8288022420144161</v>
      </c>
      <c r="BR260" s="485">
        <v>1.0720544367894183</v>
      </c>
      <c r="BS260" s="485">
        <v>30.402012717487075</v>
      </c>
      <c r="BT260" s="485">
        <v>1.4051846583369603</v>
      </c>
      <c r="BU260" s="396">
        <v>2443.3387328700182</v>
      </c>
      <c r="BV260" s="396">
        <v>29.18497961142689</v>
      </c>
      <c r="BW260" s="396">
        <v>0.34695990602096721</v>
      </c>
      <c r="BX260" s="396">
        <v>19.557354110905322</v>
      </c>
      <c r="BY260" s="396">
        <v>4.9426468567535826</v>
      </c>
      <c r="BZ260" s="485">
        <v>0</v>
      </c>
      <c r="CA260" s="485">
        <v>0</v>
      </c>
      <c r="CB260" s="485">
        <v>0</v>
      </c>
      <c r="CC260" s="485">
        <v>0</v>
      </c>
      <c r="CD260" s="485">
        <v>0</v>
      </c>
      <c r="CE260" s="485">
        <v>1476.3958911493726</v>
      </c>
      <c r="CF260" s="485">
        <v>151.47078489193655</v>
      </c>
      <c r="CG260" s="485">
        <v>0.1022632868323497</v>
      </c>
      <c r="CH260" s="485">
        <v>8.1603780738142806</v>
      </c>
      <c r="CI260" s="485">
        <v>4.4035452691832067</v>
      </c>
      <c r="CJ260" s="485">
        <v>1699.8945702734093</v>
      </c>
      <c r="CK260" s="485">
        <v>9.8883133731198214</v>
      </c>
      <c r="CL260" s="485">
        <v>1.0268587490408956</v>
      </c>
      <c r="CM260" s="485">
        <v>33.105316834505942</v>
      </c>
      <c r="CN260" s="485">
        <v>1.9769700147142391</v>
      </c>
      <c r="CO260" s="396">
        <v>2310.5430487299755</v>
      </c>
      <c r="CP260" s="396">
        <v>28.039158615903006</v>
      </c>
      <c r="CQ260" s="396">
        <v>0.36571326221048034</v>
      </c>
      <c r="CR260" s="396">
        <v>18.773074813330496</v>
      </c>
      <c r="CS260" s="396">
        <v>4.5680350166239405</v>
      </c>
      <c r="CT260" s="485">
        <v>0</v>
      </c>
      <c r="CU260" s="485">
        <v>0</v>
      </c>
      <c r="CV260" s="485">
        <v>0</v>
      </c>
      <c r="CW260" s="485">
        <v>0</v>
      </c>
      <c r="CX260" s="485">
        <v>0</v>
      </c>
      <c r="CY260" s="485">
        <v>1230.7021594960561</v>
      </c>
      <c r="CZ260" s="485">
        <v>112.06288216060443</v>
      </c>
      <c r="DA260" s="485">
        <v>7.2859069329244644E-2</v>
      </c>
      <c r="DB260" s="485">
        <v>6.7382927234773611</v>
      </c>
      <c r="DC260" s="485">
        <v>4.6473315722387456</v>
      </c>
      <c r="DD260" s="485">
        <v>1251.4321288628244</v>
      </c>
      <c r="DE260" s="485">
        <v>4.9049328011132678</v>
      </c>
      <c r="DF260" s="485">
        <v>1.0666861976782509</v>
      </c>
      <c r="DG260" s="485">
        <v>19.668112310291971</v>
      </c>
      <c r="DH260" s="485">
        <v>2.0388126540028986</v>
      </c>
      <c r="DI260" s="396">
        <v>1970.5250424814953</v>
      </c>
      <c r="DJ260" s="396">
        <v>21.175023760836382</v>
      </c>
      <c r="DK260" s="396">
        <v>0.33492295728809657</v>
      </c>
      <c r="DL260" s="396">
        <v>15.662048904121425</v>
      </c>
      <c r="DM260" s="396">
        <v>3.8629359753463319</v>
      </c>
      <c r="DN260" s="485">
        <v>0</v>
      </c>
      <c r="DO260" s="485">
        <v>0</v>
      </c>
      <c r="DP260" s="485">
        <v>0</v>
      </c>
      <c r="DQ260" s="485">
        <v>0</v>
      </c>
      <c r="DR260" s="485">
        <v>0</v>
      </c>
      <c r="DS260" s="485">
        <v>1134.8729853773084</v>
      </c>
      <c r="DT260" s="485">
        <v>96.505096595154228</v>
      </c>
      <c r="DU260" s="485">
        <v>0.30039758778951858</v>
      </c>
      <c r="DV260" s="485">
        <v>7.4754509552780446</v>
      </c>
      <c r="DW260" s="485">
        <v>15.166840111004376</v>
      </c>
      <c r="DX260" s="485">
        <v>1803.8027701891813</v>
      </c>
      <c r="DY260" s="485">
        <v>6.7026816333927126</v>
      </c>
      <c r="DZ260" s="485">
        <v>1.1434107997032184</v>
      </c>
      <c r="EA260" s="485">
        <v>30.613975402689498</v>
      </c>
      <c r="EB260" s="485">
        <v>1.5940435120063186</v>
      </c>
      <c r="EC260" s="396">
        <v>1884.3662864129581</v>
      </c>
      <c r="ED260" s="396">
        <v>3.4668162394024624</v>
      </c>
      <c r="EE260" s="396">
        <v>1.2649535746135252E-2</v>
      </c>
      <c r="EF260" s="396">
        <v>9.3779684202455833</v>
      </c>
      <c r="EG260" s="396">
        <v>0.40107498678460318</v>
      </c>
      <c r="EH260" s="485">
        <v>0</v>
      </c>
      <c r="EI260" s="485">
        <v>0</v>
      </c>
      <c r="EJ260" s="485">
        <v>0</v>
      </c>
      <c r="EK260" s="485">
        <v>0</v>
      </c>
      <c r="EL260" s="485">
        <v>0</v>
      </c>
      <c r="EM260" s="485">
        <v>914.48049611335193</v>
      </c>
      <c r="EN260" s="485">
        <v>67.157106240934652</v>
      </c>
      <c r="EO260" s="485">
        <v>0.15919582480610911</v>
      </c>
      <c r="EP260" s="485">
        <v>6.1081527990268478</v>
      </c>
      <c r="EQ260" s="485">
        <v>27.445629976973734</v>
      </c>
      <c r="ER260" s="485">
        <v>1149.9736900908952</v>
      </c>
      <c r="ES260" s="485">
        <v>6.1271237142383459</v>
      </c>
      <c r="ET260" s="485">
        <v>1.0681534768725085</v>
      </c>
      <c r="EU260" s="485">
        <v>18.355090066387469</v>
      </c>
      <c r="EV260" s="485">
        <v>1.8337862482069618</v>
      </c>
      <c r="EW260" s="396">
        <v>2399.2519839907095</v>
      </c>
      <c r="EX260" s="396">
        <v>25.753666714536362</v>
      </c>
      <c r="EY260" s="396">
        <v>0.38197144052398591</v>
      </c>
      <c r="EZ260" s="396">
        <v>18.146568679483256</v>
      </c>
      <c r="FA260" s="396">
        <v>4.7459680188814728</v>
      </c>
      <c r="FB260" s="485">
        <v>0</v>
      </c>
      <c r="FC260" s="485">
        <v>0</v>
      </c>
      <c r="FD260" s="485">
        <v>0</v>
      </c>
      <c r="FE260" s="485">
        <v>0</v>
      </c>
      <c r="FF260" s="485">
        <v>0</v>
      </c>
      <c r="FG260" s="485">
        <v>834.8526445540117</v>
      </c>
      <c r="FH260" s="485">
        <v>52.254781114597336</v>
      </c>
      <c r="FI260" s="485">
        <v>0.13280946511280442</v>
      </c>
      <c r="FJ260" s="485">
        <v>5.0100104586881811</v>
      </c>
      <c r="FK260" s="485">
        <v>6.3449125952487684</v>
      </c>
      <c r="FL260" s="485">
        <v>865.94217783418776</v>
      </c>
      <c r="FM260" s="485">
        <v>5.4055357231662722</v>
      </c>
      <c r="FN260" s="485">
        <v>0.94814773172002664</v>
      </c>
      <c r="FO260" s="485">
        <v>13.724450633206988</v>
      </c>
      <c r="FP260" s="485">
        <v>1.486787736736384</v>
      </c>
      <c r="FQ260" s="396">
        <v>2107.4862641832638</v>
      </c>
      <c r="FR260" s="396">
        <v>22.52634894766917</v>
      </c>
      <c r="FS260" s="396">
        <v>0.38329469558618512</v>
      </c>
      <c r="FT260" s="396">
        <v>16.970713845937567</v>
      </c>
      <c r="FU260" s="396">
        <v>4.1680865659091406</v>
      </c>
      <c r="FV260" s="485">
        <v>0</v>
      </c>
      <c r="FW260" s="485">
        <v>0</v>
      </c>
      <c r="FX260" s="485">
        <v>0</v>
      </c>
      <c r="FY260" s="485">
        <v>0</v>
      </c>
      <c r="FZ260" s="485">
        <v>0</v>
      </c>
      <c r="GA260" s="396">
        <v>1853.8933502448865</v>
      </c>
      <c r="GB260" s="485">
        <v>6.2060255048633453</v>
      </c>
      <c r="GC260" s="485">
        <v>1.0908180963805711</v>
      </c>
      <c r="GD260" s="485">
        <v>31.476348021424698</v>
      </c>
      <c r="GE260" s="485">
        <v>1.4084751331402767</v>
      </c>
      <c r="GF260" s="396">
        <v>2371.257795015968</v>
      </c>
      <c r="GG260" s="396">
        <v>44.788987026226295</v>
      </c>
      <c r="GH260" s="396">
        <v>8.5562993286131834E-3</v>
      </c>
      <c r="GI260" s="396">
        <v>1.0384215640206751</v>
      </c>
      <c r="GJ260" s="396">
        <v>0.98070857989343818</v>
      </c>
      <c r="GK260" s="485">
        <v>0</v>
      </c>
      <c r="GL260" s="485">
        <v>0</v>
      </c>
      <c r="GM260" s="485">
        <v>0</v>
      </c>
      <c r="GN260" s="485">
        <v>0</v>
      </c>
      <c r="GO260" s="485">
        <v>0</v>
      </c>
      <c r="GP260" s="396">
        <v>1496.16003417968</v>
      </c>
      <c r="GQ260" s="485">
        <v>105.0615</v>
      </c>
      <c r="GR260" s="485">
        <v>3.3700000000000001E-2</v>
      </c>
      <c r="GS260" s="485">
        <v>6.7527999999999997</v>
      </c>
      <c r="GT260" s="485">
        <v>3.2254999999999998</v>
      </c>
      <c r="GU260" s="485">
        <v>1892.6262925890412</v>
      </c>
      <c r="GV260" s="485">
        <v>6.0818633977414613</v>
      </c>
      <c r="GW260" s="485">
        <v>1.038686267340871</v>
      </c>
      <c r="GX260" s="485">
        <v>31.81552279578645</v>
      </c>
      <c r="GY260" s="485">
        <v>3.2254999999999998</v>
      </c>
      <c r="GZ260" s="485">
        <v>0</v>
      </c>
      <c r="HA260" s="485">
        <v>0</v>
      </c>
      <c r="HB260" s="485">
        <v>0</v>
      </c>
      <c r="HC260" s="485">
        <v>0</v>
      </c>
      <c r="HD260" s="486">
        <v>0</v>
      </c>
    </row>
    <row r="261" spans="2:212" x14ac:dyDescent="0.35">
      <c r="B261" s="396">
        <v>1991</v>
      </c>
      <c r="C261" s="396">
        <v>396.12109075159628</v>
      </c>
      <c r="D261" s="396">
        <v>17.454662795833563</v>
      </c>
      <c r="E261" s="396">
        <v>3.3850992937301934E-2</v>
      </c>
      <c r="F261" s="396">
        <v>3.5747350952199213</v>
      </c>
      <c r="G261" s="396">
        <v>2.861464770129976</v>
      </c>
      <c r="H261" s="396">
        <v>434.7752004907195</v>
      </c>
      <c r="I261" s="396">
        <v>17.684455248351014</v>
      </c>
      <c r="J261" s="396">
        <v>3.0871519337225768E-2</v>
      </c>
      <c r="K261" s="396">
        <v>3.4061877607893916</v>
      </c>
      <c r="L261" s="396">
        <v>1.5544675920667015</v>
      </c>
      <c r="M261" s="396">
        <v>390.27629215524024</v>
      </c>
      <c r="N261" s="396">
        <v>13.524255450833181</v>
      </c>
      <c r="O261" s="396">
        <v>1.9016730912833759E-2</v>
      </c>
      <c r="P261" s="396">
        <v>1.4756167295673641</v>
      </c>
      <c r="Q261" s="396">
        <v>1.2134789131297636</v>
      </c>
      <c r="R261" s="396">
        <v>0</v>
      </c>
      <c r="S261" s="396">
        <v>0</v>
      </c>
      <c r="T261" s="396">
        <v>0</v>
      </c>
      <c r="U261" s="396">
        <v>0</v>
      </c>
      <c r="V261" s="396">
        <v>0</v>
      </c>
      <c r="W261" s="396">
        <v>531.33214626624567</v>
      </c>
      <c r="X261" s="396">
        <v>29.135582641897347</v>
      </c>
      <c r="Y261" s="396">
        <v>3.6298186357294954E-2</v>
      </c>
      <c r="Z261" s="396">
        <v>5.6588956604743377</v>
      </c>
      <c r="AA261" s="396">
        <v>3.5224961450914165</v>
      </c>
      <c r="AB261" s="396">
        <v>599.78630251224854</v>
      </c>
      <c r="AC261" s="396">
        <v>23.864510580631713</v>
      </c>
      <c r="AD261" s="396">
        <v>0.11255733347232356</v>
      </c>
      <c r="AE261" s="396">
        <v>5.9733138747003016</v>
      </c>
      <c r="AF261" s="396">
        <v>2.422307932867716</v>
      </c>
      <c r="AG261" s="396">
        <v>557.49008884218574</v>
      </c>
      <c r="AH261" s="396">
        <v>15.321097630875048</v>
      </c>
      <c r="AI261" s="396">
        <v>2.2445428926251433E-2</v>
      </c>
      <c r="AJ261" s="396">
        <v>3.0285930932365304</v>
      </c>
      <c r="AK261" s="396">
        <v>1.3279279709591134</v>
      </c>
      <c r="AL261" s="396">
        <v>0</v>
      </c>
      <c r="AM261" s="396">
        <v>0</v>
      </c>
      <c r="AN261" s="396">
        <v>0</v>
      </c>
      <c r="AO261" s="396">
        <v>0</v>
      </c>
      <c r="AP261" s="396">
        <v>0</v>
      </c>
      <c r="AQ261" s="396">
        <v>525.25835467754246</v>
      </c>
      <c r="AR261" s="396">
        <v>29.546433605072039</v>
      </c>
      <c r="AS261" s="396">
        <v>4.0124225638336231E-2</v>
      </c>
      <c r="AT261" s="396">
        <v>5.2712431460505806</v>
      </c>
      <c r="AU261" s="396">
        <v>3.4012328914652823</v>
      </c>
      <c r="AV261" s="396">
        <v>606.53772092930922</v>
      </c>
      <c r="AW261" s="396">
        <v>15.508823938116633</v>
      </c>
      <c r="AX261" s="396">
        <v>0.24768566002527742</v>
      </c>
      <c r="AY261" s="396">
        <v>6.6237700416217251</v>
      </c>
      <c r="AZ261" s="396">
        <v>1.9943622082674379</v>
      </c>
      <c r="BA261" s="396">
        <v>0</v>
      </c>
      <c r="BB261" s="396">
        <v>0</v>
      </c>
      <c r="BC261" s="396">
        <v>0</v>
      </c>
      <c r="BD261" s="396">
        <v>0</v>
      </c>
      <c r="BE261" s="396">
        <v>0</v>
      </c>
      <c r="BF261" s="396">
        <v>0</v>
      </c>
      <c r="BG261" s="396">
        <v>0</v>
      </c>
      <c r="BH261" s="396">
        <v>0</v>
      </c>
      <c r="BI261" s="396">
        <v>0</v>
      </c>
      <c r="BJ261" s="396">
        <v>0</v>
      </c>
      <c r="BK261" s="396">
        <v>1294.4607351735008</v>
      </c>
      <c r="BL261" s="396">
        <v>128.42860282726048</v>
      </c>
      <c r="BM261" s="396">
        <v>0.13974461378463715</v>
      </c>
      <c r="BN261" s="396">
        <v>8.0046745755624773</v>
      </c>
      <c r="BO261" s="396">
        <v>4.0261604687441368</v>
      </c>
      <c r="BP261" s="396">
        <v>1789.6538359459587</v>
      </c>
      <c r="BQ261" s="396">
        <v>6.8410897616830901</v>
      </c>
      <c r="BR261" s="396">
        <v>1.1597759644104426</v>
      </c>
      <c r="BS261" s="396">
        <v>28.071221242517051</v>
      </c>
      <c r="BT261" s="396">
        <v>1.3933408601652253</v>
      </c>
      <c r="BU261" s="396">
        <v>2443.3387328700182</v>
      </c>
      <c r="BV261" s="396">
        <v>29.18497961142689</v>
      </c>
      <c r="BW261" s="396">
        <v>0.34695990602096721</v>
      </c>
      <c r="BX261" s="396">
        <v>19.557354110905322</v>
      </c>
      <c r="BY261" s="396">
        <v>4.9426468567535826</v>
      </c>
      <c r="BZ261" s="396">
        <v>0</v>
      </c>
      <c r="CA261" s="396">
        <v>0</v>
      </c>
      <c r="CB261" s="396">
        <v>0</v>
      </c>
      <c r="CC261" s="396">
        <v>0</v>
      </c>
      <c r="CD261" s="396">
        <v>0</v>
      </c>
      <c r="CE261" s="396">
        <v>1225.0622392500197</v>
      </c>
      <c r="CF261" s="396">
        <v>121.50826626685891</v>
      </c>
      <c r="CG261" s="396">
        <v>0.1244540089743781</v>
      </c>
      <c r="CH261" s="396">
        <v>7.6303297349214896</v>
      </c>
      <c r="CI261" s="396">
        <v>4.0278431464416613</v>
      </c>
      <c r="CJ261" s="396">
        <v>1693.9742098524723</v>
      </c>
      <c r="CK261" s="396">
        <v>9.9031823468866893</v>
      </c>
      <c r="CL261" s="396">
        <v>0.45313925173426606</v>
      </c>
      <c r="CM261" s="396">
        <v>30.996209300184933</v>
      </c>
      <c r="CN261" s="396">
        <v>1.9674150439737914</v>
      </c>
      <c r="CO261" s="396">
        <v>2310.5430487299755</v>
      </c>
      <c r="CP261" s="396">
        <v>28.039158615903006</v>
      </c>
      <c r="CQ261" s="396">
        <v>0.36571326221048034</v>
      </c>
      <c r="CR261" s="396">
        <v>18.773074813330496</v>
      </c>
      <c r="CS261" s="396">
        <v>4.5680350166239405</v>
      </c>
      <c r="CT261" s="396">
        <v>0</v>
      </c>
      <c r="CU261" s="396">
        <v>0</v>
      </c>
      <c r="CV261" s="396">
        <v>0</v>
      </c>
      <c r="CW261" s="396">
        <v>0</v>
      </c>
      <c r="CX261" s="396">
        <v>0</v>
      </c>
      <c r="CY261" s="396">
        <v>1229.9518108120917</v>
      </c>
      <c r="CZ261" s="396">
        <v>112.062657382881</v>
      </c>
      <c r="DA261" s="396">
        <v>5.6035904131458925E-2</v>
      </c>
      <c r="DB261" s="396">
        <v>6.7382831968599399</v>
      </c>
      <c r="DC261" s="396">
        <v>4.5913396724965398</v>
      </c>
      <c r="DD261" s="396">
        <v>1254.0140683231309</v>
      </c>
      <c r="DE261" s="396">
        <v>4.9049335555380562</v>
      </c>
      <c r="DF261" s="396">
        <v>0.68156316844221532</v>
      </c>
      <c r="DG261" s="396">
        <v>18.230161880533352</v>
      </c>
      <c r="DH261" s="396">
        <v>2.0388943975803899</v>
      </c>
      <c r="DI261" s="396">
        <v>1970.5250424814953</v>
      </c>
      <c r="DJ261" s="396">
        <v>21.175023760836382</v>
      </c>
      <c r="DK261" s="396">
        <v>0.33492295728809657</v>
      </c>
      <c r="DL261" s="396">
        <v>15.662048904121425</v>
      </c>
      <c r="DM261" s="396">
        <v>3.8629359753463319</v>
      </c>
      <c r="DN261" s="396">
        <v>0</v>
      </c>
      <c r="DO261" s="396">
        <v>0</v>
      </c>
      <c r="DP261" s="396">
        <v>0</v>
      </c>
      <c r="DQ261" s="396">
        <v>0</v>
      </c>
      <c r="DR261" s="396">
        <v>0</v>
      </c>
      <c r="DS261" s="396">
        <v>1171.4430322400253</v>
      </c>
      <c r="DT261" s="396">
        <v>103.91240793241241</v>
      </c>
      <c r="DU261" s="396">
        <v>0.15951893026400082</v>
      </c>
      <c r="DV261" s="396">
        <v>7.6032873570541222</v>
      </c>
      <c r="DW261" s="396">
        <v>9.5370871779625332</v>
      </c>
      <c r="DX261" s="396">
        <v>1815.7938798615874</v>
      </c>
      <c r="DY261" s="396">
        <v>6.3329001291639422</v>
      </c>
      <c r="DZ261" s="396">
        <v>1.1151990878793194</v>
      </c>
      <c r="EA261" s="396">
        <v>28.649997608075136</v>
      </c>
      <c r="EB261" s="396">
        <v>1.8358581429095371</v>
      </c>
      <c r="EC261" s="396">
        <v>1884.3662864129581</v>
      </c>
      <c r="ED261" s="396">
        <v>3.4668162394024624</v>
      </c>
      <c r="EE261" s="396">
        <v>1.2649535746135252E-2</v>
      </c>
      <c r="EF261" s="396">
        <v>9.3779684202455833</v>
      </c>
      <c r="EG261" s="396">
        <v>0.40107498678460318</v>
      </c>
      <c r="EH261" s="396">
        <v>0</v>
      </c>
      <c r="EI261" s="396">
        <v>0</v>
      </c>
      <c r="EJ261" s="396">
        <v>0</v>
      </c>
      <c r="EK261" s="396">
        <v>0</v>
      </c>
      <c r="EL261" s="396">
        <v>0</v>
      </c>
      <c r="EM261" s="396">
        <v>923.74507317744417</v>
      </c>
      <c r="EN261" s="396">
        <v>74.154060881274631</v>
      </c>
      <c r="EO261" s="396">
        <v>0.1047956044388091</v>
      </c>
      <c r="EP261" s="396">
        <v>6.2581605873853681</v>
      </c>
      <c r="EQ261" s="396">
        <v>18.044506039965007</v>
      </c>
      <c r="ER261" s="396">
        <v>1276.0367476603419</v>
      </c>
      <c r="ES261" s="396">
        <v>6.1537612383323719</v>
      </c>
      <c r="ET261" s="396">
        <v>0.81885586723742465</v>
      </c>
      <c r="EU261" s="396">
        <v>18.181812606557173</v>
      </c>
      <c r="EV261" s="396">
        <v>1.9059107802131758</v>
      </c>
      <c r="EW261" s="396">
        <v>2399.2519839907095</v>
      </c>
      <c r="EX261" s="396">
        <v>25.753666714536362</v>
      </c>
      <c r="EY261" s="396">
        <v>0.38197144052398591</v>
      </c>
      <c r="EZ261" s="396">
        <v>18.146568679483256</v>
      </c>
      <c r="FA261" s="396">
        <v>4.7459680188814728</v>
      </c>
      <c r="FB261" s="396">
        <v>0</v>
      </c>
      <c r="FC261" s="396">
        <v>0</v>
      </c>
      <c r="FD261" s="396">
        <v>0</v>
      </c>
      <c r="FE261" s="396">
        <v>0</v>
      </c>
      <c r="FF261" s="396">
        <v>0</v>
      </c>
      <c r="FG261" s="396">
        <v>1009.630990303904</v>
      </c>
      <c r="FH261" s="396">
        <v>69.618434208384684</v>
      </c>
      <c r="FI261" s="396">
        <v>5.254260934266515E-2</v>
      </c>
      <c r="FJ261" s="396">
        <v>5.590624782012231</v>
      </c>
      <c r="FK261" s="396">
        <v>6.3741716464761549</v>
      </c>
      <c r="FL261" s="396">
        <v>872.54038765161749</v>
      </c>
      <c r="FM261" s="396">
        <v>5.3083728459295587</v>
      </c>
      <c r="FN261" s="396">
        <v>0.54985570939348072</v>
      </c>
      <c r="FO261" s="396">
        <v>11.273124533892705</v>
      </c>
      <c r="FP261" s="396">
        <v>1.5299044464453631</v>
      </c>
      <c r="FQ261" s="396">
        <v>2107.4862641832638</v>
      </c>
      <c r="FR261" s="396">
        <v>22.52634894766917</v>
      </c>
      <c r="FS261" s="396">
        <v>0.38329469558618512</v>
      </c>
      <c r="FT261" s="396">
        <v>16.970713845937567</v>
      </c>
      <c r="FU261" s="396">
        <v>4.1680865659091406</v>
      </c>
      <c r="FV261" s="396">
        <v>0</v>
      </c>
      <c r="FW261" s="396">
        <v>0</v>
      </c>
      <c r="FX261" s="396">
        <v>0</v>
      </c>
      <c r="FY261" s="396">
        <v>0</v>
      </c>
      <c r="FZ261" s="396">
        <v>0</v>
      </c>
      <c r="GA261" s="396">
        <v>1863.2193460930187</v>
      </c>
      <c r="GB261" s="396">
        <v>6.3203611658006</v>
      </c>
      <c r="GC261" s="396">
        <v>1.1633597456669789</v>
      </c>
      <c r="GD261" s="396">
        <v>29.346617499919311</v>
      </c>
      <c r="GE261" s="396">
        <v>1.3596044605106026</v>
      </c>
      <c r="GF261" s="396">
        <v>2371.257795015968</v>
      </c>
      <c r="GG261" s="396">
        <v>44.788987026226295</v>
      </c>
      <c r="GH261" s="396">
        <v>8.5562993286131834E-3</v>
      </c>
      <c r="GI261" s="396">
        <v>1.0384215640206751</v>
      </c>
      <c r="GJ261" s="396">
        <v>0.98070857989343818</v>
      </c>
      <c r="GK261" s="396">
        <v>0</v>
      </c>
      <c r="GL261" s="396">
        <v>0</v>
      </c>
      <c r="GM261" s="396">
        <v>0</v>
      </c>
      <c r="GN261" s="396">
        <v>0</v>
      </c>
      <c r="GO261" s="396">
        <v>0</v>
      </c>
      <c r="GP261" s="396">
        <v>1496.16003417968</v>
      </c>
      <c r="GQ261" s="396">
        <v>111.9449</v>
      </c>
      <c r="GR261" s="396">
        <v>3.4799999999999998E-2</v>
      </c>
      <c r="GS261" s="396">
        <v>6.8457999999999997</v>
      </c>
      <c r="GT261" s="396">
        <v>3.4510000000000001</v>
      </c>
      <c r="GU261" s="396">
        <v>1897.6023011604311</v>
      </c>
      <c r="GV261" s="396">
        <v>6.2543097503792584</v>
      </c>
      <c r="GW261" s="396">
        <v>1.1626770691727248</v>
      </c>
      <c r="GX261" s="396">
        <v>29.958508186063007</v>
      </c>
      <c r="GY261" s="396">
        <v>3.4510000000000001</v>
      </c>
      <c r="GZ261" s="396">
        <v>0</v>
      </c>
      <c r="HA261" s="396">
        <v>0</v>
      </c>
      <c r="HB261" s="396">
        <v>0</v>
      </c>
      <c r="HC261" s="396">
        <v>0</v>
      </c>
      <c r="HD261" s="487">
        <v>0</v>
      </c>
    </row>
    <row r="262" spans="2:212" x14ac:dyDescent="0.35">
      <c r="B262" s="396">
        <v>1992</v>
      </c>
      <c r="C262" s="396">
        <v>405.82534509202458</v>
      </c>
      <c r="D262" s="396">
        <v>17.331384202453989</v>
      </c>
      <c r="E262" s="396">
        <v>3.3390049846625768E-2</v>
      </c>
      <c r="F262" s="396">
        <v>3.5688650306748468</v>
      </c>
      <c r="G262" s="396">
        <v>2.7875383435582819</v>
      </c>
      <c r="H262" s="396">
        <v>434.3072650485596</v>
      </c>
      <c r="I262" s="396">
        <v>17.600939970091861</v>
      </c>
      <c r="J262" s="396">
        <v>3.0672686638292278E-2</v>
      </c>
      <c r="K262" s="396">
        <v>3.4007444168734486</v>
      </c>
      <c r="L262" s="396">
        <v>1.54270126370105</v>
      </c>
      <c r="M262" s="396">
        <v>390.27629215524024</v>
      </c>
      <c r="N262" s="396">
        <v>13.524255450833181</v>
      </c>
      <c r="O262" s="396">
        <v>1.9016730912833759E-2</v>
      </c>
      <c r="P262" s="396">
        <v>1.4756167295673641</v>
      </c>
      <c r="Q262" s="396">
        <v>1.2134789131297636</v>
      </c>
      <c r="R262" s="396">
        <v>0</v>
      </c>
      <c r="S262" s="396">
        <v>0</v>
      </c>
      <c r="T262" s="396">
        <v>0</v>
      </c>
      <c r="U262" s="396">
        <v>0</v>
      </c>
      <c r="V262" s="396">
        <v>0</v>
      </c>
      <c r="W262" s="396">
        <v>529.61531772018839</v>
      </c>
      <c r="X262" s="396">
        <v>28.94388191078275</v>
      </c>
      <c r="Y262" s="396">
        <v>3.5856668607596856E-2</v>
      </c>
      <c r="Z262" s="396">
        <v>5.6374670104885851</v>
      </c>
      <c r="AA262" s="396">
        <v>3.4572251756289747</v>
      </c>
      <c r="AB262" s="396">
        <v>627.71531294404872</v>
      </c>
      <c r="AC262" s="396">
        <v>21.331120838459263</v>
      </c>
      <c r="AD262" s="396">
        <v>0.15610963293565644</v>
      </c>
      <c r="AE262" s="396">
        <v>6.2052088995698993</v>
      </c>
      <c r="AF262" s="396">
        <v>2.2810249954701076</v>
      </c>
      <c r="AG262" s="396">
        <v>557.49008884218574</v>
      </c>
      <c r="AH262" s="396">
        <v>15.321097630875048</v>
      </c>
      <c r="AI262" s="396">
        <v>2.2445428926251433E-2</v>
      </c>
      <c r="AJ262" s="396">
        <v>3.0285930932365304</v>
      </c>
      <c r="AK262" s="396">
        <v>1.3279279709591134</v>
      </c>
      <c r="AL262" s="396">
        <v>0</v>
      </c>
      <c r="AM262" s="396">
        <v>0</v>
      </c>
      <c r="AN262" s="396">
        <v>0</v>
      </c>
      <c r="AO262" s="396">
        <v>0</v>
      </c>
      <c r="AP262" s="396">
        <v>0</v>
      </c>
      <c r="AQ262" s="396">
        <v>523.31311637774297</v>
      </c>
      <c r="AR262" s="396">
        <v>29.710487035098751</v>
      </c>
      <c r="AS262" s="396">
        <v>4.0646929185743537E-2</v>
      </c>
      <c r="AT262" s="396">
        <v>5.2193998396840291</v>
      </c>
      <c r="AU262" s="396">
        <v>3.3429395681111851</v>
      </c>
      <c r="AV262" s="396">
        <v>634.04733155667327</v>
      </c>
      <c r="AW262" s="396">
        <v>14.226021639052226</v>
      </c>
      <c r="AX262" s="396">
        <v>0.27234578662456027</v>
      </c>
      <c r="AY262" s="396">
        <v>6.7645734944235256</v>
      </c>
      <c r="AZ262" s="396">
        <v>1.9204480231680279</v>
      </c>
      <c r="BA262" s="396">
        <v>0</v>
      </c>
      <c r="BB262" s="396">
        <v>0</v>
      </c>
      <c r="BC262" s="396">
        <v>0</v>
      </c>
      <c r="BD262" s="396">
        <v>0</v>
      </c>
      <c r="BE262" s="396">
        <v>0</v>
      </c>
      <c r="BF262" s="396">
        <v>0</v>
      </c>
      <c r="BG262" s="396">
        <v>0</v>
      </c>
      <c r="BH262" s="396">
        <v>0</v>
      </c>
      <c r="BI262" s="396">
        <v>0</v>
      </c>
      <c r="BJ262" s="396">
        <v>0</v>
      </c>
      <c r="BK262" s="396">
        <v>1680.4784460342671</v>
      </c>
      <c r="BL262" s="396">
        <v>174.58641966632467</v>
      </c>
      <c r="BM262" s="396">
        <v>8.5922807707984883E-2</v>
      </c>
      <c r="BN262" s="396">
        <v>9.2365806007280717</v>
      </c>
      <c r="BO262" s="396">
        <v>4.5544014505179415</v>
      </c>
      <c r="BP262" s="396">
        <v>1784.7594509158616</v>
      </c>
      <c r="BQ262" s="396">
        <v>6.828584419521067</v>
      </c>
      <c r="BR262" s="396">
        <v>1.1536915948555839</v>
      </c>
      <c r="BS262" s="396">
        <v>27.970597150651709</v>
      </c>
      <c r="BT262" s="396">
        <v>1.401214653791192</v>
      </c>
      <c r="BU262" s="396">
        <v>2443.3387328700182</v>
      </c>
      <c r="BV262" s="396">
        <v>29.18497961142689</v>
      </c>
      <c r="BW262" s="396">
        <v>0.34695990602096721</v>
      </c>
      <c r="BX262" s="396">
        <v>19.557354110905322</v>
      </c>
      <c r="BY262" s="396">
        <v>4.9426468567535826</v>
      </c>
      <c r="BZ262" s="396">
        <v>0</v>
      </c>
      <c r="CA262" s="396">
        <v>0</v>
      </c>
      <c r="CB262" s="396">
        <v>0</v>
      </c>
      <c r="CC262" s="396">
        <v>0</v>
      </c>
      <c r="CD262" s="396">
        <v>0</v>
      </c>
      <c r="CE262" s="396">
        <v>1600.3138236896236</v>
      </c>
      <c r="CF262" s="396">
        <v>167.78591695867448</v>
      </c>
      <c r="CG262" s="396">
        <v>8.8497060951715056E-2</v>
      </c>
      <c r="CH262" s="396">
        <v>8.8686493386125083</v>
      </c>
      <c r="CI262" s="396">
        <v>4.5588582020992048</v>
      </c>
      <c r="CJ262" s="396">
        <v>1689.3539478875093</v>
      </c>
      <c r="CK262" s="396">
        <v>9.8406317120975864</v>
      </c>
      <c r="CL262" s="396">
        <v>0.4558578021578904</v>
      </c>
      <c r="CM262" s="396">
        <v>30.837356678126149</v>
      </c>
      <c r="CN262" s="396">
        <v>1.9647135441127663</v>
      </c>
      <c r="CO262" s="396">
        <v>2310.5430487299755</v>
      </c>
      <c r="CP262" s="396">
        <v>28.039158615903006</v>
      </c>
      <c r="CQ262" s="396">
        <v>0.36571326221048034</v>
      </c>
      <c r="CR262" s="396">
        <v>18.773074813330496</v>
      </c>
      <c r="CS262" s="396">
        <v>4.5680350166239405</v>
      </c>
      <c r="CT262" s="396">
        <v>0</v>
      </c>
      <c r="CU262" s="396">
        <v>0</v>
      </c>
      <c r="CV262" s="396">
        <v>0</v>
      </c>
      <c r="CW262" s="396">
        <v>0</v>
      </c>
      <c r="CX262" s="396">
        <v>0</v>
      </c>
      <c r="CY262" s="396">
        <v>1228.1141407205771</v>
      </c>
      <c r="CZ262" s="396">
        <v>112.06218696520497</v>
      </c>
      <c r="DA262" s="396">
        <v>5.6035711671645012E-2</v>
      </c>
      <c r="DB262" s="396">
        <v>6.7382515013471176</v>
      </c>
      <c r="DC262" s="396">
        <v>4.5330749471086653</v>
      </c>
      <c r="DD262" s="396">
        <v>1254.3624588147122</v>
      </c>
      <c r="DE262" s="396">
        <v>4.9049379922790841</v>
      </c>
      <c r="DF262" s="396">
        <v>0.68156171783305286</v>
      </c>
      <c r="DG262" s="396">
        <v>18.230234597055869</v>
      </c>
      <c r="DH262" s="396">
        <v>2.0389015371127166</v>
      </c>
      <c r="DI262" s="396">
        <v>1970.5250424814953</v>
      </c>
      <c r="DJ262" s="396">
        <v>21.175023760836382</v>
      </c>
      <c r="DK262" s="396">
        <v>0.33492295728809657</v>
      </c>
      <c r="DL262" s="396">
        <v>15.662048904121425</v>
      </c>
      <c r="DM262" s="396">
        <v>3.8629359753463319</v>
      </c>
      <c r="DN262" s="396">
        <v>0</v>
      </c>
      <c r="DO262" s="396">
        <v>0</v>
      </c>
      <c r="DP262" s="396">
        <v>0</v>
      </c>
      <c r="DQ262" s="396">
        <v>0</v>
      </c>
      <c r="DR262" s="396">
        <v>0</v>
      </c>
      <c r="DS262" s="396">
        <v>1045.7620639728964</v>
      </c>
      <c r="DT262" s="396">
        <v>90.856096328509764</v>
      </c>
      <c r="DU262" s="396">
        <v>0.18415575098902193</v>
      </c>
      <c r="DV262" s="396">
        <v>7.3779726294237626</v>
      </c>
      <c r="DW262" s="396">
        <v>7.2462514040053101</v>
      </c>
      <c r="DX262" s="396">
        <v>1830.8334233835405</v>
      </c>
      <c r="DY262" s="396">
        <v>6.5298019708795065</v>
      </c>
      <c r="DZ262" s="396">
        <v>1.1527832485699447</v>
      </c>
      <c r="EA262" s="396">
        <v>28.823607329970685</v>
      </c>
      <c r="EB262" s="396">
        <v>1.7062260132391234</v>
      </c>
      <c r="EC262" s="396">
        <v>1884.3662864129581</v>
      </c>
      <c r="ED262" s="396">
        <v>3.4668162394024624</v>
      </c>
      <c r="EE262" s="396">
        <v>1.2649535746135252E-2</v>
      </c>
      <c r="EF262" s="396">
        <v>9.3779684202455833</v>
      </c>
      <c r="EG262" s="396">
        <v>0.40107498678460318</v>
      </c>
      <c r="EH262" s="396">
        <v>0</v>
      </c>
      <c r="EI262" s="396">
        <v>0</v>
      </c>
      <c r="EJ262" s="396">
        <v>0</v>
      </c>
      <c r="EK262" s="396">
        <v>0</v>
      </c>
      <c r="EL262" s="396">
        <v>0</v>
      </c>
      <c r="EM262" s="396">
        <v>892.36547410281548</v>
      </c>
      <c r="EN262" s="396">
        <v>73.679595697380591</v>
      </c>
      <c r="EO262" s="396">
        <v>0.10954764502009086</v>
      </c>
      <c r="EP262" s="396">
        <v>6.217512876099474</v>
      </c>
      <c r="EQ262" s="396">
        <v>13.799795639386366</v>
      </c>
      <c r="ER262" s="396">
        <v>1232.7175597209975</v>
      </c>
      <c r="ES262" s="396">
        <v>6.150832363850733</v>
      </c>
      <c r="ET262" s="396">
        <v>0.78538002848452926</v>
      </c>
      <c r="EU262" s="396">
        <v>17.25087775128728</v>
      </c>
      <c r="EV262" s="396">
        <v>1.8402101386142746</v>
      </c>
      <c r="EW262" s="396">
        <v>2399.2519839907095</v>
      </c>
      <c r="EX262" s="396">
        <v>25.753666714536362</v>
      </c>
      <c r="EY262" s="396">
        <v>0.38197144052398591</v>
      </c>
      <c r="EZ262" s="396">
        <v>18.146568679483256</v>
      </c>
      <c r="FA262" s="396">
        <v>4.7459680188814728</v>
      </c>
      <c r="FB262" s="396">
        <v>0</v>
      </c>
      <c r="FC262" s="396">
        <v>0</v>
      </c>
      <c r="FD262" s="396">
        <v>0</v>
      </c>
      <c r="FE262" s="396">
        <v>0</v>
      </c>
      <c r="FF262" s="396">
        <v>0</v>
      </c>
      <c r="FG262" s="396">
        <v>1026.8728164276215</v>
      </c>
      <c r="FH262" s="396">
        <v>71.719211109317186</v>
      </c>
      <c r="FI262" s="396">
        <v>5.1095801715399479E-2</v>
      </c>
      <c r="FJ262" s="396">
        <v>5.6600526304401013</v>
      </c>
      <c r="FK262" s="396">
        <v>6.2474928968879464</v>
      </c>
      <c r="FL262" s="396">
        <v>1022.9561930979778</v>
      </c>
      <c r="FM262" s="396">
        <v>5.3176014977516228</v>
      </c>
      <c r="FN262" s="396">
        <v>0.64192188128801975</v>
      </c>
      <c r="FO262" s="396">
        <v>13.626011186478241</v>
      </c>
      <c r="FP262" s="396">
        <v>1.5666085374175449</v>
      </c>
      <c r="FQ262" s="396">
        <v>2107.4862641832638</v>
      </c>
      <c r="FR262" s="396">
        <v>22.52634894766917</v>
      </c>
      <c r="FS262" s="396">
        <v>0.38329469558618512</v>
      </c>
      <c r="FT262" s="396">
        <v>16.970713845937567</v>
      </c>
      <c r="FU262" s="396">
        <v>4.1680865659091406</v>
      </c>
      <c r="FV262" s="396">
        <v>0</v>
      </c>
      <c r="FW262" s="396">
        <v>0</v>
      </c>
      <c r="FX262" s="396">
        <v>0</v>
      </c>
      <c r="FY262" s="396">
        <v>0</v>
      </c>
      <c r="FZ262" s="396">
        <v>0</v>
      </c>
      <c r="GA262" s="396">
        <v>1854.1713462614939</v>
      </c>
      <c r="GB262" s="396">
        <v>6.209617325018808</v>
      </c>
      <c r="GC262" s="396">
        <v>1.1425270881689147</v>
      </c>
      <c r="GD262" s="396">
        <v>29.249410816727458</v>
      </c>
      <c r="GE262" s="396">
        <v>1.406951827805172</v>
      </c>
      <c r="GF262" s="396">
        <v>2371.257795015968</v>
      </c>
      <c r="GG262" s="396">
        <v>44.788987026226295</v>
      </c>
      <c r="GH262" s="396">
        <v>8.5562993286131834E-3</v>
      </c>
      <c r="GI262" s="396">
        <v>1.0384215640206751</v>
      </c>
      <c r="GJ262" s="396">
        <v>0.98070857989343818</v>
      </c>
      <c r="GK262" s="396">
        <v>0</v>
      </c>
      <c r="GL262" s="396">
        <v>0</v>
      </c>
      <c r="GM262" s="396">
        <v>0</v>
      </c>
      <c r="GN262" s="396">
        <v>0</v>
      </c>
      <c r="GO262" s="396">
        <v>0</v>
      </c>
      <c r="GP262" s="396">
        <v>1496.16003417968</v>
      </c>
      <c r="GQ262" s="396">
        <v>108.61279999999999</v>
      </c>
      <c r="GR262" s="396">
        <v>3.2500000000000001E-2</v>
      </c>
      <c r="GS262" s="396">
        <v>6.7462</v>
      </c>
      <c r="GT262" s="396">
        <v>3.3605999999999998</v>
      </c>
      <c r="GU262" s="396">
        <v>1899.1327318945321</v>
      </c>
      <c r="GV262" s="396">
        <v>6.2604545681104522</v>
      </c>
      <c r="GW262" s="396">
        <v>1.1637840801475352</v>
      </c>
      <c r="GX262" s="396">
        <v>29.961870109156159</v>
      </c>
      <c r="GY262" s="396">
        <v>3.3605999999999998</v>
      </c>
      <c r="GZ262" s="396">
        <v>0</v>
      </c>
      <c r="HA262" s="396">
        <v>0</v>
      </c>
      <c r="HB262" s="396">
        <v>0</v>
      </c>
      <c r="HC262" s="396">
        <v>0</v>
      </c>
      <c r="HD262" s="487">
        <v>0</v>
      </c>
    </row>
    <row r="263" spans="2:212" x14ac:dyDescent="0.35">
      <c r="B263" s="396">
        <v>1993</v>
      </c>
      <c r="C263" s="396">
        <v>399.03439382263673</v>
      </c>
      <c r="D263" s="396">
        <v>17.247078805416201</v>
      </c>
      <c r="E263" s="396">
        <v>3.3066350040102534E-2</v>
      </c>
      <c r="F263" s="396">
        <v>3.5649425196974223</v>
      </c>
      <c r="G263" s="396">
        <v>2.7231981379841792</v>
      </c>
      <c r="H263" s="396">
        <v>433.98984896126785</v>
      </c>
      <c r="I263" s="396">
        <v>17.544848143368654</v>
      </c>
      <c r="J263" s="396">
        <v>3.0533088569403299E-2</v>
      </c>
      <c r="K263" s="396">
        <v>3.397133263054581</v>
      </c>
      <c r="L263" s="396">
        <v>1.5344812701066903</v>
      </c>
      <c r="M263" s="396">
        <v>390.27629215524024</v>
      </c>
      <c r="N263" s="396">
        <v>13.524255450833181</v>
      </c>
      <c r="O263" s="396">
        <v>1.9016730912833759E-2</v>
      </c>
      <c r="P263" s="396">
        <v>1.4756167295673641</v>
      </c>
      <c r="Q263" s="396">
        <v>1.2134789131297636</v>
      </c>
      <c r="R263" s="396">
        <v>0</v>
      </c>
      <c r="S263" s="396">
        <v>0</v>
      </c>
      <c r="T263" s="396">
        <v>0</v>
      </c>
      <c r="U263" s="396">
        <v>0</v>
      </c>
      <c r="V263" s="396">
        <v>0</v>
      </c>
      <c r="W263" s="396">
        <v>532.92651501444698</v>
      </c>
      <c r="X263" s="396">
        <v>28.500200119523441</v>
      </c>
      <c r="Y263" s="396">
        <v>3.4780060419647901E-2</v>
      </c>
      <c r="Z263" s="396">
        <v>5.6400260977789474</v>
      </c>
      <c r="AA263" s="396">
        <v>3.3954087646868536</v>
      </c>
      <c r="AB263" s="396">
        <v>602.61656424284206</v>
      </c>
      <c r="AC263" s="396">
        <v>17.823104541489684</v>
      </c>
      <c r="AD263" s="396">
        <v>0.21853092853559877</v>
      </c>
      <c r="AE263" s="396">
        <v>6.5440298894712257</v>
      </c>
      <c r="AF263" s="396">
        <v>2.0898413851555877</v>
      </c>
      <c r="AG263" s="396">
        <v>557.49008884218574</v>
      </c>
      <c r="AH263" s="396">
        <v>15.321097630875048</v>
      </c>
      <c r="AI263" s="396">
        <v>2.2445428926251433E-2</v>
      </c>
      <c r="AJ263" s="396">
        <v>3.0285930932365304</v>
      </c>
      <c r="AK263" s="396">
        <v>1.3279279709591134</v>
      </c>
      <c r="AL263" s="396">
        <v>0</v>
      </c>
      <c r="AM263" s="396">
        <v>0</v>
      </c>
      <c r="AN263" s="396">
        <v>0</v>
      </c>
      <c r="AO263" s="396">
        <v>0</v>
      </c>
      <c r="AP263" s="396">
        <v>0</v>
      </c>
      <c r="AQ263" s="396">
        <v>526.44689065022988</v>
      </c>
      <c r="AR263" s="396">
        <v>29.244280878339058</v>
      </c>
      <c r="AS263" s="396">
        <v>3.9597304984303659E-2</v>
      </c>
      <c r="AT263" s="396">
        <v>5.2190929731236118</v>
      </c>
      <c r="AU263" s="396">
        <v>3.2825258395285362</v>
      </c>
      <c r="AV263" s="396">
        <v>607.65263604773656</v>
      </c>
      <c r="AW263" s="396">
        <v>12.719460997814432</v>
      </c>
      <c r="AX263" s="396">
        <v>0.30213053664365791</v>
      </c>
      <c r="AY263" s="396">
        <v>6.9356986745074609</v>
      </c>
      <c r="AZ263" s="396">
        <v>1.8342898473246436</v>
      </c>
      <c r="BA263" s="396">
        <v>0</v>
      </c>
      <c r="BB263" s="396">
        <v>0</v>
      </c>
      <c r="BC263" s="396">
        <v>0</v>
      </c>
      <c r="BD263" s="396">
        <v>0</v>
      </c>
      <c r="BE263" s="396">
        <v>0</v>
      </c>
      <c r="BF263" s="396">
        <v>0</v>
      </c>
      <c r="BG263" s="396">
        <v>0</v>
      </c>
      <c r="BH263" s="396">
        <v>0</v>
      </c>
      <c r="BI263" s="396">
        <v>0</v>
      </c>
      <c r="BJ263" s="396">
        <v>0</v>
      </c>
      <c r="BK263" s="396">
        <v>1405.2482372610307</v>
      </c>
      <c r="BL263" s="396">
        <v>142.73622317527239</v>
      </c>
      <c r="BM263" s="396">
        <v>0.13771978709828531</v>
      </c>
      <c r="BN263" s="396">
        <v>8.4680122442716037</v>
      </c>
      <c r="BO263" s="396">
        <v>4.1500650174052804</v>
      </c>
      <c r="BP263" s="396">
        <v>1789.1176435276795</v>
      </c>
      <c r="BQ263" s="396">
        <v>6.8311000559911017</v>
      </c>
      <c r="BR263" s="396">
        <v>1.158077180405952</v>
      </c>
      <c r="BS263" s="396">
        <v>28.065840297658742</v>
      </c>
      <c r="BT263" s="396">
        <v>1.4009017514409796</v>
      </c>
      <c r="BU263" s="396">
        <v>2443.3365381633221</v>
      </c>
      <c r="BV263" s="396">
        <v>29.18493936668424</v>
      </c>
      <c r="BW263" s="396">
        <v>0.34695902986694788</v>
      </c>
      <c r="BX263" s="396">
        <v>19.55742331668889</v>
      </c>
      <c r="BY263" s="396">
        <v>4.9426542195205156</v>
      </c>
      <c r="BZ263" s="396">
        <v>0</v>
      </c>
      <c r="CA263" s="396">
        <v>0</v>
      </c>
      <c r="CB263" s="396">
        <v>0</v>
      </c>
      <c r="CC263" s="396">
        <v>0</v>
      </c>
      <c r="CD263" s="396">
        <v>0</v>
      </c>
      <c r="CE263" s="396">
        <v>1340.299715808319</v>
      </c>
      <c r="CF263" s="396">
        <v>136.26886786547428</v>
      </c>
      <c r="CG263" s="396">
        <v>0.12834947647802628</v>
      </c>
      <c r="CH263" s="396">
        <v>8.1376055285923545</v>
      </c>
      <c r="CI263" s="396">
        <v>4.144816736010549</v>
      </c>
      <c r="CJ263" s="396">
        <v>1693.3232199905824</v>
      </c>
      <c r="CK263" s="396">
        <v>9.8677276277537942</v>
      </c>
      <c r="CL263" s="396">
        <v>0.45584764568711988</v>
      </c>
      <c r="CM263" s="396">
        <v>30.954723993153756</v>
      </c>
      <c r="CN263" s="396">
        <v>1.9690537351225303</v>
      </c>
      <c r="CO263" s="396">
        <v>2310.5391989936343</v>
      </c>
      <c r="CP263" s="396">
        <v>28.03914891571285</v>
      </c>
      <c r="CQ263" s="396">
        <v>0.36571184763491998</v>
      </c>
      <c r="CR263" s="396">
        <v>18.773010804812291</v>
      </c>
      <c r="CS263" s="396">
        <v>4.5680278513366801</v>
      </c>
      <c r="CT263" s="396">
        <v>0</v>
      </c>
      <c r="CU263" s="396">
        <v>0</v>
      </c>
      <c r="CV263" s="396">
        <v>0</v>
      </c>
      <c r="CW263" s="396">
        <v>0</v>
      </c>
      <c r="CX263" s="396">
        <v>0</v>
      </c>
      <c r="CY263" s="396">
        <v>1229.1056802036749</v>
      </c>
      <c r="CZ263" s="396">
        <v>112.06244695965596</v>
      </c>
      <c r="DA263" s="396">
        <v>5.6035871959417581E-2</v>
      </c>
      <c r="DB263" s="396">
        <v>6.7382691445844021</v>
      </c>
      <c r="DC263" s="396">
        <v>4.4794656393924077</v>
      </c>
      <c r="DD263" s="396">
        <v>1253.910531930361</v>
      </c>
      <c r="DE263" s="396">
        <v>4.9049301699478383</v>
      </c>
      <c r="DF263" s="396">
        <v>0.68156221972819453</v>
      </c>
      <c r="DG263" s="396">
        <v>18.230144299649258</v>
      </c>
      <c r="DH263" s="396">
        <v>2.038883960733767</v>
      </c>
      <c r="DI263" s="396">
        <v>1970.5250424814953</v>
      </c>
      <c r="DJ263" s="396">
        <v>21.175023760836382</v>
      </c>
      <c r="DK263" s="396">
        <v>0.33492295728809657</v>
      </c>
      <c r="DL263" s="396">
        <v>15.662048904121425</v>
      </c>
      <c r="DM263" s="396">
        <v>3.8629359753463319</v>
      </c>
      <c r="DN263" s="396">
        <v>0</v>
      </c>
      <c r="DO263" s="396">
        <v>0</v>
      </c>
      <c r="DP263" s="396">
        <v>0</v>
      </c>
      <c r="DQ263" s="396">
        <v>0</v>
      </c>
      <c r="DR263" s="396">
        <v>0</v>
      </c>
      <c r="DS263" s="396">
        <v>1595.4944925849888</v>
      </c>
      <c r="DT263" s="396">
        <v>153.83057636258874</v>
      </c>
      <c r="DU263" s="396">
        <v>6.5311956321080347E-2</v>
      </c>
      <c r="DV263" s="396">
        <v>8.4645248630838168</v>
      </c>
      <c r="DW263" s="396">
        <v>6.8117968885482698</v>
      </c>
      <c r="DX263" s="396">
        <v>1840.9029342089236</v>
      </c>
      <c r="DY263" s="396">
        <v>6.6613214939575913</v>
      </c>
      <c r="DZ263" s="396">
        <v>1.1778888022267917</v>
      </c>
      <c r="EA263" s="396">
        <v>28.939383196158751</v>
      </c>
      <c r="EB263" s="396">
        <v>1.6196164202251155</v>
      </c>
      <c r="EC263" s="396">
        <v>1884.3662864129581</v>
      </c>
      <c r="ED263" s="396">
        <v>3.4668162394024624</v>
      </c>
      <c r="EE263" s="396">
        <v>1.2649535746135252E-2</v>
      </c>
      <c r="EF263" s="396">
        <v>9.3779684202455833</v>
      </c>
      <c r="EG263" s="396">
        <v>0.40107498678460318</v>
      </c>
      <c r="EH263" s="396">
        <v>0</v>
      </c>
      <c r="EI263" s="396">
        <v>0</v>
      </c>
      <c r="EJ263" s="396">
        <v>0</v>
      </c>
      <c r="EK263" s="396">
        <v>0</v>
      </c>
      <c r="EL263" s="396">
        <v>0</v>
      </c>
      <c r="EM263" s="396">
        <v>873.68515262232427</v>
      </c>
      <c r="EN263" s="396">
        <v>67.79295168100407</v>
      </c>
      <c r="EO263" s="396">
        <v>0.10781064091899803</v>
      </c>
      <c r="EP263" s="396">
        <v>6.110473502995589</v>
      </c>
      <c r="EQ263" s="396">
        <v>11.284733555852714</v>
      </c>
      <c r="ER263" s="396">
        <v>1218.4385281959192</v>
      </c>
      <c r="ES263" s="396">
        <v>6.1869222518168554</v>
      </c>
      <c r="ET263" s="396">
        <v>0.7896183095705831</v>
      </c>
      <c r="EU263" s="396">
        <v>17.209423547419039</v>
      </c>
      <c r="EV263" s="396">
        <v>1.806138743928748</v>
      </c>
      <c r="EW263" s="396">
        <v>2399.2519839907095</v>
      </c>
      <c r="EX263" s="396">
        <v>25.753666714536362</v>
      </c>
      <c r="EY263" s="396">
        <v>0.38197144052398591</v>
      </c>
      <c r="EZ263" s="396">
        <v>18.146568679483256</v>
      </c>
      <c r="FA263" s="396">
        <v>4.7459680188814728</v>
      </c>
      <c r="FB263" s="396">
        <v>0</v>
      </c>
      <c r="FC263" s="396">
        <v>0</v>
      </c>
      <c r="FD263" s="396">
        <v>0</v>
      </c>
      <c r="FE263" s="396">
        <v>0</v>
      </c>
      <c r="FF263" s="396">
        <v>0</v>
      </c>
      <c r="FG263" s="396">
        <v>751.79478812176592</v>
      </c>
      <c r="FH263" s="396">
        <v>48.36039112395693</v>
      </c>
      <c r="FI263" s="396">
        <v>8.6614260407440219E-2</v>
      </c>
      <c r="FJ263" s="396">
        <v>4.8798832222274022</v>
      </c>
      <c r="FK263" s="396">
        <v>5.8465805789939864</v>
      </c>
      <c r="FL263" s="396">
        <v>891.65976266115138</v>
      </c>
      <c r="FM263" s="396">
        <v>5.372250070033437</v>
      </c>
      <c r="FN263" s="396">
        <v>0.57375265978054202</v>
      </c>
      <c r="FO263" s="396">
        <v>11.647603664387846</v>
      </c>
      <c r="FP263" s="396">
        <v>1.4951632226109657</v>
      </c>
      <c r="FQ263" s="396">
        <v>2107.4862641832638</v>
      </c>
      <c r="FR263" s="396">
        <v>22.52634894766917</v>
      </c>
      <c r="FS263" s="396">
        <v>0.38329469558618512</v>
      </c>
      <c r="FT263" s="396">
        <v>16.970713845937567</v>
      </c>
      <c r="FU263" s="396">
        <v>4.1680865659091406</v>
      </c>
      <c r="FV263" s="396">
        <v>0</v>
      </c>
      <c r="FW263" s="396">
        <v>0</v>
      </c>
      <c r="FX263" s="396">
        <v>0</v>
      </c>
      <c r="FY263" s="396">
        <v>0</v>
      </c>
      <c r="FZ263" s="396">
        <v>0</v>
      </c>
      <c r="GA263" s="396">
        <v>1865.4480509688606</v>
      </c>
      <c r="GB263" s="396">
        <v>6.3477342984241867</v>
      </c>
      <c r="GC263" s="396">
        <v>1.1685044861645177</v>
      </c>
      <c r="GD263" s="396">
        <v>29.370711754505013</v>
      </c>
      <c r="GE263" s="396">
        <v>1.3479204365528161</v>
      </c>
      <c r="GF263" s="396">
        <v>2371.257795015968</v>
      </c>
      <c r="GG263" s="396">
        <v>44.788987026226295</v>
      </c>
      <c r="GH263" s="396">
        <v>8.5562993286131834E-3</v>
      </c>
      <c r="GI263" s="396">
        <v>1.0384215640206751</v>
      </c>
      <c r="GJ263" s="396">
        <v>0.98070857989343818</v>
      </c>
      <c r="GK263" s="396">
        <v>0</v>
      </c>
      <c r="GL263" s="396">
        <v>0</v>
      </c>
      <c r="GM263" s="396">
        <v>0</v>
      </c>
      <c r="GN263" s="396">
        <v>0</v>
      </c>
      <c r="GO263" s="396">
        <v>0</v>
      </c>
      <c r="GP263" s="396">
        <v>1496.16003417968</v>
      </c>
      <c r="GQ263" s="396">
        <v>105.5886</v>
      </c>
      <c r="GR263" s="396">
        <v>3.0499999999999999E-2</v>
      </c>
      <c r="GS263" s="396">
        <v>6.6558000000000002</v>
      </c>
      <c r="GT263" s="396">
        <v>3.2784</v>
      </c>
      <c r="GU263" s="396">
        <v>1890.3315523677084</v>
      </c>
      <c r="GV263" s="396">
        <v>6.152587279514016</v>
      </c>
      <c r="GW263" s="396">
        <v>1.1443841030520383</v>
      </c>
      <c r="GX263" s="396">
        <v>29.902656810363755</v>
      </c>
      <c r="GY263" s="396">
        <v>3.2784</v>
      </c>
      <c r="GZ263" s="396">
        <v>0</v>
      </c>
      <c r="HA263" s="396">
        <v>0</v>
      </c>
      <c r="HB263" s="396">
        <v>0</v>
      </c>
      <c r="HC263" s="396">
        <v>0</v>
      </c>
      <c r="HD263" s="487">
        <v>0</v>
      </c>
    </row>
    <row r="264" spans="2:212" x14ac:dyDescent="0.35">
      <c r="B264" s="396">
        <v>1994</v>
      </c>
      <c r="C264" s="396">
        <v>400.94286031836202</v>
      </c>
      <c r="D264" s="396">
        <v>18.015300640922728</v>
      </c>
      <c r="E264" s="396">
        <v>3.0495449325117007E-2</v>
      </c>
      <c r="F264" s="396">
        <v>2.5533423070748484</v>
      </c>
      <c r="G264" s="396">
        <v>2.4426689059856499</v>
      </c>
      <c r="H264" s="396">
        <v>433.81536411420672</v>
      </c>
      <c r="I264" s="396">
        <v>16.851417713397328</v>
      </c>
      <c r="J264" s="396">
        <v>2.8901364657108308E-2</v>
      </c>
      <c r="K264" s="396">
        <v>2.421579514514391</v>
      </c>
      <c r="L264" s="396">
        <v>1.1216017241237486</v>
      </c>
      <c r="M264" s="396">
        <v>390.27629215524024</v>
      </c>
      <c r="N264" s="396">
        <v>13.524255450833181</v>
      </c>
      <c r="O264" s="396">
        <v>1.9016730912833759E-2</v>
      </c>
      <c r="P264" s="396">
        <v>1.4756167295673641</v>
      </c>
      <c r="Q264" s="396">
        <v>1.2134789131297636</v>
      </c>
      <c r="R264" s="396">
        <v>0</v>
      </c>
      <c r="S264" s="396">
        <v>0</v>
      </c>
      <c r="T264" s="396">
        <v>0</v>
      </c>
      <c r="U264" s="396">
        <v>0</v>
      </c>
      <c r="V264" s="396">
        <v>0</v>
      </c>
      <c r="W264" s="396">
        <v>531.77761632635361</v>
      </c>
      <c r="X264" s="396">
        <v>28.522683322670311</v>
      </c>
      <c r="Y264" s="396">
        <v>3.4136891529945021E-2</v>
      </c>
      <c r="Z264" s="396">
        <v>4.741683745576653</v>
      </c>
      <c r="AA264" s="396">
        <v>3.0361639141608565</v>
      </c>
      <c r="AB264" s="396">
        <v>681.63449421764972</v>
      </c>
      <c r="AC264" s="396">
        <v>10.756888849344378</v>
      </c>
      <c r="AD264" s="396">
        <v>0.64966241172320027</v>
      </c>
      <c r="AE264" s="396">
        <v>6.9549392589404508</v>
      </c>
      <c r="AF264" s="396">
        <v>1.5862407170983341</v>
      </c>
      <c r="AG264" s="396">
        <v>557.49008884218574</v>
      </c>
      <c r="AH264" s="396">
        <v>15.321097630875048</v>
      </c>
      <c r="AI264" s="396">
        <v>2.2445428926251433E-2</v>
      </c>
      <c r="AJ264" s="396">
        <v>3.0285930932365304</v>
      </c>
      <c r="AK264" s="396">
        <v>1.3279279709591134</v>
      </c>
      <c r="AL264" s="396">
        <v>0</v>
      </c>
      <c r="AM264" s="396">
        <v>0</v>
      </c>
      <c r="AN264" s="396">
        <v>0</v>
      </c>
      <c r="AO264" s="396">
        <v>0</v>
      </c>
      <c r="AP264" s="396">
        <v>0</v>
      </c>
      <c r="AQ264" s="396">
        <v>527.16353815442938</v>
      </c>
      <c r="AR264" s="396">
        <v>29.247088163096414</v>
      </c>
      <c r="AS264" s="396">
        <v>3.8953304368733899E-2</v>
      </c>
      <c r="AT264" s="396">
        <v>4.4602799165730067</v>
      </c>
      <c r="AU264" s="396">
        <v>2.9867814067401404</v>
      </c>
      <c r="AV264" s="396">
        <v>686.27245929711955</v>
      </c>
      <c r="AW264" s="396">
        <v>9.0373139693723505</v>
      </c>
      <c r="AX264" s="396">
        <v>0.69789345028398875</v>
      </c>
      <c r="AY264" s="396">
        <v>7.1220073333812639</v>
      </c>
      <c r="AZ264" s="396">
        <v>1.5354414081137784</v>
      </c>
      <c r="BA264" s="396">
        <v>0</v>
      </c>
      <c r="BB264" s="396">
        <v>0</v>
      </c>
      <c r="BC264" s="396">
        <v>0</v>
      </c>
      <c r="BD264" s="396">
        <v>0</v>
      </c>
      <c r="BE264" s="396">
        <v>0</v>
      </c>
      <c r="BF264" s="396">
        <v>0</v>
      </c>
      <c r="BG264" s="396">
        <v>0</v>
      </c>
      <c r="BH264" s="396">
        <v>0</v>
      </c>
      <c r="BI264" s="396">
        <v>0</v>
      </c>
      <c r="BJ264" s="396">
        <v>0</v>
      </c>
      <c r="BK264" s="396">
        <v>1032.4436491960537</v>
      </c>
      <c r="BL264" s="396">
        <v>106.76830935162404</v>
      </c>
      <c r="BM264" s="396">
        <v>7.9059494520241552E-2</v>
      </c>
      <c r="BN264" s="396">
        <v>7.4049429657794681</v>
      </c>
      <c r="BO264" s="396">
        <v>3.7300380228136887</v>
      </c>
      <c r="BP264" s="396">
        <v>1790.9427019145649</v>
      </c>
      <c r="BQ264" s="396">
        <v>6.8395966048150534</v>
      </c>
      <c r="BR264" s="396">
        <v>1.13187585704119</v>
      </c>
      <c r="BS264" s="396">
        <v>28.095589383971809</v>
      </c>
      <c r="BT264" s="396">
        <v>1.3948985436808945</v>
      </c>
      <c r="BU264" s="396">
        <v>2443.3433814952127</v>
      </c>
      <c r="BV264" s="396">
        <v>29.184943926636873</v>
      </c>
      <c r="BW264" s="396">
        <v>0.34695956481064416</v>
      </c>
      <c r="BX264" s="396">
        <v>19.557418892854255</v>
      </c>
      <c r="BY264" s="396">
        <v>4.9426561796195561</v>
      </c>
      <c r="BZ264" s="396">
        <v>0</v>
      </c>
      <c r="CA264" s="396">
        <v>0</v>
      </c>
      <c r="CB264" s="396">
        <v>0</v>
      </c>
      <c r="CC264" s="396">
        <v>0</v>
      </c>
      <c r="CD264" s="396">
        <v>0</v>
      </c>
      <c r="CE264" s="396">
        <v>987.93618259571338</v>
      </c>
      <c r="CF264" s="396">
        <v>100.16953870290239</v>
      </c>
      <c r="CG264" s="396">
        <v>7.4290214833371296E-2</v>
      </c>
      <c r="CH264" s="396">
        <v>7.1267618107745632</v>
      </c>
      <c r="CI264" s="396">
        <v>3.6984172170348435</v>
      </c>
      <c r="CJ264" s="396">
        <v>1695.0777659950515</v>
      </c>
      <c r="CK264" s="396">
        <v>9.9027925061859321</v>
      </c>
      <c r="CL264" s="396">
        <v>0.77492046659597047</v>
      </c>
      <c r="CM264" s="396">
        <v>31.018822905620365</v>
      </c>
      <c r="CN264" s="396">
        <v>1.9689466242488514</v>
      </c>
      <c r="CO264" s="396">
        <v>2310.5454784932072</v>
      </c>
      <c r="CP264" s="396">
        <v>28.039269183005302</v>
      </c>
      <c r="CQ264" s="396">
        <v>0.36571425883415498</v>
      </c>
      <c r="CR264" s="396">
        <v>18.773073232228199</v>
      </c>
      <c r="CS264" s="396">
        <v>4.5680295788958718</v>
      </c>
      <c r="CT264" s="396">
        <v>0</v>
      </c>
      <c r="CU264" s="396">
        <v>0</v>
      </c>
      <c r="CV264" s="396">
        <v>0</v>
      </c>
      <c r="CW264" s="396">
        <v>0</v>
      </c>
      <c r="CX264" s="396">
        <v>0</v>
      </c>
      <c r="CY264" s="396">
        <v>1229.949760289499</v>
      </c>
      <c r="CZ264" s="396">
        <v>122.48006515366293</v>
      </c>
      <c r="DA264" s="396">
        <v>8.9158356634247107E-2</v>
      </c>
      <c r="DB264" s="396">
        <v>6.7644928948453531</v>
      </c>
      <c r="DC264" s="396">
        <v>4.5670030340764329</v>
      </c>
      <c r="DD264" s="396">
        <v>1254.2328370921091</v>
      </c>
      <c r="DE264" s="396">
        <v>4.9049452596838012</v>
      </c>
      <c r="DF264" s="396">
        <v>1.1289564739074118</v>
      </c>
      <c r="DG264" s="396">
        <v>18.230210976453684</v>
      </c>
      <c r="DH264" s="396">
        <v>2.038894902141704</v>
      </c>
      <c r="DI264" s="396">
        <v>1970.5250424814953</v>
      </c>
      <c r="DJ264" s="396">
        <v>21.175023760836382</v>
      </c>
      <c r="DK264" s="396">
        <v>0.33492295728809657</v>
      </c>
      <c r="DL264" s="396">
        <v>15.662048904121425</v>
      </c>
      <c r="DM264" s="396">
        <v>3.8629359753463319</v>
      </c>
      <c r="DN264" s="396">
        <v>0</v>
      </c>
      <c r="DO264" s="396">
        <v>0</v>
      </c>
      <c r="DP264" s="396">
        <v>0</v>
      </c>
      <c r="DQ264" s="396">
        <v>0</v>
      </c>
      <c r="DR264" s="396">
        <v>0</v>
      </c>
      <c r="DS264" s="396">
        <v>1129.2744338612929</v>
      </c>
      <c r="DT264" s="396">
        <v>107.2107816877627</v>
      </c>
      <c r="DU264" s="396">
        <v>7.7294612126098755E-2</v>
      </c>
      <c r="DV264" s="396">
        <v>7.5147206513716363</v>
      </c>
      <c r="DW264" s="396">
        <v>5.6282222909106512</v>
      </c>
      <c r="DX264" s="396">
        <v>1838.3197816583738</v>
      </c>
      <c r="DY264" s="396">
        <v>6.6275436825267313</v>
      </c>
      <c r="DZ264" s="396">
        <v>1.2656300431467429</v>
      </c>
      <c r="EA264" s="396">
        <v>28.909608735730718</v>
      </c>
      <c r="EB264" s="396">
        <v>1.6418742883111317</v>
      </c>
      <c r="EC264" s="396">
        <v>1884.3662864129581</v>
      </c>
      <c r="ED264" s="396">
        <v>3.4668162394024624</v>
      </c>
      <c r="EE264" s="396">
        <v>1.2649535746135252E-2</v>
      </c>
      <c r="EF264" s="396">
        <v>9.3779684202455833</v>
      </c>
      <c r="EG264" s="396">
        <v>0.40107498678460318</v>
      </c>
      <c r="EH264" s="396">
        <v>0</v>
      </c>
      <c r="EI264" s="396">
        <v>0</v>
      </c>
      <c r="EJ264" s="396">
        <v>0</v>
      </c>
      <c r="EK264" s="396">
        <v>0</v>
      </c>
      <c r="EL264" s="396">
        <v>0</v>
      </c>
      <c r="EM264" s="396">
        <v>855.31600084548722</v>
      </c>
      <c r="EN264" s="396">
        <v>71.719627046196479</v>
      </c>
      <c r="EO264" s="396">
        <v>7.2806626114594833E-2</v>
      </c>
      <c r="EP264" s="396">
        <v>6.0736904733945529</v>
      </c>
      <c r="EQ264" s="396">
        <v>9.8364608531592257</v>
      </c>
      <c r="ER264" s="396">
        <v>1146.5357715434991</v>
      </c>
      <c r="ES264" s="396">
        <v>6.0858813783553218</v>
      </c>
      <c r="ET264" s="396">
        <v>1.1641958975753903</v>
      </c>
      <c r="EU264" s="396">
        <v>15.613921207400354</v>
      </c>
      <c r="EV264" s="396">
        <v>1.7767694127441405</v>
      </c>
      <c r="EW264" s="396">
        <v>2399.2519839907095</v>
      </c>
      <c r="EX264" s="396">
        <v>25.753666714536362</v>
      </c>
      <c r="EY264" s="396">
        <v>0.38197144052398591</v>
      </c>
      <c r="EZ264" s="396">
        <v>18.146568679483256</v>
      </c>
      <c r="FA264" s="396">
        <v>4.7459680188814728</v>
      </c>
      <c r="FB264" s="396">
        <v>0</v>
      </c>
      <c r="FC264" s="396">
        <v>0</v>
      </c>
      <c r="FD264" s="396">
        <v>0</v>
      </c>
      <c r="FE264" s="396">
        <v>0</v>
      </c>
      <c r="FF264" s="396">
        <v>0</v>
      </c>
      <c r="FG264" s="396">
        <v>733.64808710666091</v>
      </c>
      <c r="FH264" s="396">
        <v>49.409568184259001</v>
      </c>
      <c r="FI264" s="396">
        <v>5.6079869802638641E-2</v>
      </c>
      <c r="FJ264" s="396">
        <v>4.7790197196130428</v>
      </c>
      <c r="FK264" s="396">
        <v>5.7595727279486475</v>
      </c>
      <c r="FL264" s="396">
        <v>983.63582691191891</v>
      </c>
      <c r="FM264" s="396">
        <v>5.3721027290587244</v>
      </c>
      <c r="FN264" s="396">
        <v>1.0144199350563421</v>
      </c>
      <c r="FO264" s="396">
        <v>12.664277934425227</v>
      </c>
      <c r="FP264" s="396">
        <v>1.5142906584961167</v>
      </c>
      <c r="FQ264" s="396">
        <v>2107.4862641832638</v>
      </c>
      <c r="FR264" s="396">
        <v>22.52634894766917</v>
      </c>
      <c r="FS264" s="396">
        <v>0.38329469558618512</v>
      </c>
      <c r="FT264" s="396">
        <v>16.970713845937567</v>
      </c>
      <c r="FU264" s="396">
        <v>4.1680865659091406</v>
      </c>
      <c r="FV264" s="396">
        <v>0</v>
      </c>
      <c r="FW264" s="396">
        <v>0</v>
      </c>
      <c r="FX264" s="396">
        <v>0</v>
      </c>
      <c r="FY264" s="396">
        <v>0</v>
      </c>
      <c r="FZ264" s="396">
        <v>0</v>
      </c>
      <c r="GA264" s="396">
        <v>1857.0877025505856</v>
      </c>
      <c r="GB264" s="396">
        <v>6.2453918570877027</v>
      </c>
      <c r="GC264" s="396">
        <v>1.1713031820010784</v>
      </c>
      <c r="GD264" s="396">
        <v>29.280828333542395</v>
      </c>
      <c r="GE264" s="396">
        <v>1.3916501998015831</v>
      </c>
      <c r="GF264" s="396">
        <v>2371.257795015968</v>
      </c>
      <c r="GG264" s="396">
        <v>44.788987026226295</v>
      </c>
      <c r="GH264" s="396">
        <v>8.5562993286131834E-3</v>
      </c>
      <c r="GI264" s="396">
        <v>1.0384215640206751</v>
      </c>
      <c r="GJ264" s="396">
        <v>0.98070857989343818</v>
      </c>
      <c r="GK264" s="396">
        <v>0</v>
      </c>
      <c r="GL264" s="396">
        <v>0</v>
      </c>
      <c r="GM264" s="396">
        <v>0</v>
      </c>
      <c r="GN264" s="396">
        <v>0</v>
      </c>
      <c r="GO264" s="396">
        <v>0</v>
      </c>
      <c r="GP264" s="396">
        <v>1496.16003417968</v>
      </c>
      <c r="GQ264" s="396">
        <v>99.614900000000006</v>
      </c>
      <c r="GR264" s="396">
        <v>4.7300000000000002E-2</v>
      </c>
      <c r="GS264" s="396">
        <v>6.6353</v>
      </c>
      <c r="GT264" s="396">
        <v>3.1633</v>
      </c>
      <c r="GU264" s="396">
        <v>1897.0009191167278</v>
      </c>
      <c r="GV264" s="396">
        <v>6.2432728956577481</v>
      </c>
      <c r="GW264" s="396">
        <v>1.0624649330464968</v>
      </c>
      <c r="GX264" s="396">
        <v>29.952503968003935</v>
      </c>
      <c r="GY264" s="396">
        <v>3.1633</v>
      </c>
      <c r="GZ264" s="396">
        <v>0</v>
      </c>
      <c r="HA264" s="396">
        <v>0</v>
      </c>
      <c r="HB264" s="396">
        <v>0</v>
      </c>
      <c r="HC264" s="396">
        <v>0</v>
      </c>
      <c r="HD264" s="487">
        <v>0</v>
      </c>
    </row>
    <row r="265" spans="2:212" x14ac:dyDescent="0.35">
      <c r="B265" s="396">
        <v>1995</v>
      </c>
      <c r="C265" s="396">
        <v>395.04957863631392</v>
      </c>
      <c r="D265" s="396">
        <v>16.7241764255226</v>
      </c>
      <c r="E265" s="396">
        <v>2.6555280726715553E-2</v>
      </c>
      <c r="F265" s="396">
        <v>2.2180234212542409</v>
      </c>
      <c r="G265" s="396">
        <v>2.3253146547006676</v>
      </c>
      <c r="H265" s="396">
        <v>433.70575380346781</v>
      </c>
      <c r="I265" s="396">
        <v>15.591642810413543</v>
      </c>
      <c r="J265" s="396">
        <v>2.4879991833969758E-2</v>
      </c>
      <c r="K265" s="396">
        <v>2.1027806260932502</v>
      </c>
      <c r="L265" s="396">
        <v>1.019635590900444</v>
      </c>
      <c r="M265" s="396">
        <v>390.27629215524024</v>
      </c>
      <c r="N265" s="396">
        <v>13.524255450833181</v>
      </c>
      <c r="O265" s="396">
        <v>1.9016730912833759E-2</v>
      </c>
      <c r="P265" s="396">
        <v>1.4756167295673641</v>
      </c>
      <c r="Q265" s="396">
        <v>1.2134789131297636</v>
      </c>
      <c r="R265" s="396">
        <v>0</v>
      </c>
      <c r="S265" s="396">
        <v>0</v>
      </c>
      <c r="T265" s="396">
        <v>0</v>
      </c>
      <c r="U265" s="396">
        <v>0</v>
      </c>
      <c r="V265" s="396">
        <v>0</v>
      </c>
      <c r="W265" s="396">
        <v>542.87773096806416</v>
      </c>
      <c r="X265" s="396">
        <v>27.896164161566269</v>
      </c>
      <c r="Y265" s="396">
        <v>3.0069875706755251E-2</v>
      </c>
      <c r="Z265" s="396">
        <v>4.7254156812208663</v>
      </c>
      <c r="AA265" s="396">
        <v>2.9719510481356015</v>
      </c>
      <c r="AB265" s="396">
        <v>649.22708613308066</v>
      </c>
      <c r="AC265" s="396">
        <v>11.361943997708797</v>
      </c>
      <c r="AD265" s="396">
        <v>0.61380596740910454</v>
      </c>
      <c r="AE265" s="396">
        <v>6.8196925969171565</v>
      </c>
      <c r="AF265" s="396">
        <v>1.5945157997547239</v>
      </c>
      <c r="AG265" s="396">
        <v>557.49008884218574</v>
      </c>
      <c r="AH265" s="396">
        <v>15.321097630875048</v>
      </c>
      <c r="AI265" s="396">
        <v>2.2445428926251433E-2</v>
      </c>
      <c r="AJ265" s="396">
        <v>3.0285930932365304</v>
      </c>
      <c r="AK265" s="396">
        <v>1.3279279709591134</v>
      </c>
      <c r="AL265" s="396">
        <v>0</v>
      </c>
      <c r="AM265" s="396">
        <v>0</v>
      </c>
      <c r="AN265" s="396">
        <v>0</v>
      </c>
      <c r="AO265" s="396">
        <v>0</v>
      </c>
      <c r="AP265" s="396">
        <v>0</v>
      </c>
      <c r="AQ265" s="396">
        <v>541.84331797235018</v>
      </c>
      <c r="AR265" s="396">
        <v>29.609262672811056</v>
      </c>
      <c r="AS265" s="396">
        <v>3.6686175115207373E-2</v>
      </c>
      <c r="AT265" s="396">
        <v>4.4236082949308759</v>
      </c>
      <c r="AU265" s="396">
        <v>2.9512073732718895</v>
      </c>
      <c r="AV265" s="396">
        <v>654.54869179742605</v>
      </c>
      <c r="AW265" s="396">
        <v>8.9559032327281187</v>
      </c>
      <c r="AX265" s="396">
        <v>0.69339073506786397</v>
      </c>
      <c r="AY265" s="396">
        <v>7.1096735314393191</v>
      </c>
      <c r="AZ265" s="396">
        <v>1.5265726507822737</v>
      </c>
      <c r="BA265" s="396">
        <v>0</v>
      </c>
      <c r="BB265" s="396">
        <v>0</v>
      </c>
      <c r="BC265" s="396">
        <v>0</v>
      </c>
      <c r="BD265" s="396">
        <v>0</v>
      </c>
      <c r="BE265" s="396">
        <v>0</v>
      </c>
      <c r="BF265" s="396">
        <v>0</v>
      </c>
      <c r="BG265" s="396">
        <v>0</v>
      </c>
      <c r="BH265" s="396">
        <v>0</v>
      </c>
      <c r="BI265" s="396">
        <v>0</v>
      </c>
      <c r="BJ265" s="396">
        <v>0</v>
      </c>
      <c r="BK265" s="396">
        <v>1063.8684137375751</v>
      </c>
      <c r="BL265" s="396">
        <v>106.76814247510232</v>
      </c>
      <c r="BM265" s="396">
        <v>0.25405887258331977</v>
      </c>
      <c r="BN265" s="396">
        <v>7.4049287336930991</v>
      </c>
      <c r="BO265" s="396">
        <v>3.7028573619484884</v>
      </c>
      <c r="BP265" s="396">
        <v>1791.0774896593423</v>
      </c>
      <c r="BQ265" s="396">
        <v>6.8225460691759077</v>
      </c>
      <c r="BR265" s="396">
        <v>1.1366272278792375</v>
      </c>
      <c r="BS265" s="396">
        <v>28.096906734825687</v>
      </c>
      <c r="BT265" s="396">
        <v>1.4080059364307211</v>
      </c>
      <c r="BU265" s="396">
        <v>2443.3380319037587</v>
      </c>
      <c r="BV265" s="396">
        <v>29.185100414497647</v>
      </c>
      <c r="BW265" s="396">
        <v>0.3469603505784824</v>
      </c>
      <c r="BX265" s="396">
        <v>19.557450490558665</v>
      </c>
      <c r="BY265" s="396">
        <v>4.942661158639555</v>
      </c>
      <c r="BZ265" s="396">
        <v>0</v>
      </c>
      <c r="CA265" s="396">
        <v>0</v>
      </c>
      <c r="CB265" s="396">
        <v>0</v>
      </c>
      <c r="CC265" s="396">
        <v>0</v>
      </c>
      <c r="CD265" s="396">
        <v>0</v>
      </c>
      <c r="CE265" s="396">
        <v>1018.1725577180454</v>
      </c>
      <c r="CF265" s="396">
        <v>100.16933419470347</v>
      </c>
      <c r="CG265" s="396">
        <v>0.22696294271080231</v>
      </c>
      <c r="CH265" s="396">
        <v>7.1267867734118857</v>
      </c>
      <c r="CI265" s="396">
        <v>3.6639024917262164</v>
      </c>
      <c r="CJ265" s="396">
        <v>1694.8705183218351</v>
      </c>
      <c r="CK265" s="396">
        <v>9.8442426685000353</v>
      </c>
      <c r="CL265" s="396">
        <v>0.78196107252080316</v>
      </c>
      <c r="CM265" s="396">
        <v>30.959989884861272</v>
      </c>
      <c r="CN265" s="396">
        <v>1.9722781979248158</v>
      </c>
      <c r="CO265" s="396">
        <v>2310.5402130033144</v>
      </c>
      <c r="CP265" s="396">
        <v>28.039149591890787</v>
      </c>
      <c r="CQ265" s="396">
        <v>0.36571240539651201</v>
      </c>
      <c r="CR265" s="396">
        <v>18.77302386054463</v>
      </c>
      <c r="CS265" s="396">
        <v>4.568038266759765</v>
      </c>
      <c r="CT265" s="396">
        <v>0</v>
      </c>
      <c r="CU265" s="396">
        <v>0</v>
      </c>
      <c r="CV265" s="396">
        <v>0</v>
      </c>
      <c r="CW265" s="396">
        <v>0</v>
      </c>
      <c r="CX265" s="396">
        <v>0</v>
      </c>
      <c r="CY265" s="396">
        <v>1231.0971963274353</v>
      </c>
      <c r="CZ265" s="396">
        <v>122.48003658493685</v>
      </c>
      <c r="DA265" s="396">
        <v>4.3896436486438949E-2</v>
      </c>
      <c r="DB265" s="396">
        <v>6.7645055756850878</v>
      </c>
      <c r="DC265" s="396">
        <v>4.5142083230731345</v>
      </c>
      <c r="DD265" s="396">
        <v>1254.8337902361977</v>
      </c>
      <c r="DE265" s="396">
        <v>4.9049581525389883</v>
      </c>
      <c r="DF265" s="396">
        <v>1.1289646157477171</v>
      </c>
      <c r="DG265" s="396">
        <v>18.230333508832445</v>
      </c>
      <c r="DH265" s="396">
        <v>2.0389244930193717</v>
      </c>
      <c r="DI265" s="396">
        <v>1970.5250424814953</v>
      </c>
      <c r="DJ265" s="396">
        <v>21.175023760836382</v>
      </c>
      <c r="DK265" s="396">
        <v>0.33492295728809657</v>
      </c>
      <c r="DL265" s="396">
        <v>15.662048904121425</v>
      </c>
      <c r="DM265" s="396">
        <v>3.8629359753463319</v>
      </c>
      <c r="DN265" s="396">
        <v>0</v>
      </c>
      <c r="DO265" s="396">
        <v>0</v>
      </c>
      <c r="DP265" s="396">
        <v>0</v>
      </c>
      <c r="DQ265" s="396">
        <v>0</v>
      </c>
      <c r="DR265" s="396">
        <v>0</v>
      </c>
      <c r="DS265" s="396">
        <v>1110.0320755446139</v>
      </c>
      <c r="DT265" s="396">
        <v>94.435995535338776</v>
      </c>
      <c r="DU265" s="396">
        <v>0.20683247745505218</v>
      </c>
      <c r="DV265" s="396">
        <v>7.3579844464297484</v>
      </c>
      <c r="DW265" s="396">
        <v>4.9758467284535772</v>
      </c>
      <c r="DX265" s="396">
        <v>1760.4537110605772</v>
      </c>
      <c r="DY265" s="396">
        <v>6.7535000958930382</v>
      </c>
      <c r="DZ265" s="396">
        <v>1.2947751993205294</v>
      </c>
      <c r="EA265" s="396">
        <v>27.205622071837585</v>
      </c>
      <c r="EB265" s="396">
        <v>1.5654291898408177</v>
      </c>
      <c r="EC265" s="396">
        <v>1884.3662864129581</v>
      </c>
      <c r="ED265" s="396">
        <v>3.4668162394024624</v>
      </c>
      <c r="EE265" s="396">
        <v>1.2649535746135252E-2</v>
      </c>
      <c r="EF265" s="396">
        <v>9.3779684202455833</v>
      </c>
      <c r="EG265" s="396">
        <v>0.40107498678460318</v>
      </c>
      <c r="EH265" s="396">
        <v>0</v>
      </c>
      <c r="EI265" s="396">
        <v>0</v>
      </c>
      <c r="EJ265" s="396">
        <v>0</v>
      </c>
      <c r="EK265" s="396">
        <v>0</v>
      </c>
      <c r="EL265" s="396">
        <v>0</v>
      </c>
      <c r="EM265" s="396">
        <v>875.71342930582819</v>
      </c>
      <c r="EN265" s="396">
        <v>70.219305089060597</v>
      </c>
      <c r="EO265" s="396">
        <v>0.12488441418728596</v>
      </c>
      <c r="EP265" s="396">
        <v>6.0543971881646703</v>
      </c>
      <c r="EQ265" s="396">
        <v>8.7276937858767685</v>
      </c>
      <c r="ER265" s="396">
        <v>1181.1368460207375</v>
      </c>
      <c r="ES265" s="396">
        <v>6.0604727789555435</v>
      </c>
      <c r="ET265" s="396">
        <v>1.1765349733526189</v>
      </c>
      <c r="EU265" s="396">
        <v>16.208469104494679</v>
      </c>
      <c r="EV265" s="396">
        <v>1.8413522619171787</v>
      </c>
      <c r="EW265" s="396">
        <v>2399.2519839907095</v>
      </c>
      <c r="EX265" s="396">
        <v>25.753666714536362</v>
      </c>
      <c r="EY265" s="396">
        <v>0.38197144052398591</v>
      </c>
      <c r="EZ265" s="396">
        <v>18.146568679483256</v>
      </c>
      <c r="FA265" s="396">
        <v>4.7459680188814728</v>
      </c>
      <c r="FB265" s="396">
        <v>0</v>
      </c>
      <c r="FC265" s="396">
        <v>0</v>
      </c>
      <c r="FD265" s="396">
        <v>0</v>
      </c>
      <c r="FE265" s="396">
        <v>0</v>
      </c>
      <c r="FF265" s="396">
        <v>0</v>
      </c>
      <c r="FG265" s="396">
        <v>857.84711960612481</v>
      </c>
      <c r="FH265" s="396">
        <v>57.177582887153207</v>
      </c>
      <c r="FI265" s="396">
        <v>7.3395723920585271E-2</v>
      </c>
      <c r="FJ265" s="396">
        <v>5.016983630466906</v>
      </c>
      <c r="FK265" s="396">
        <v>5.7219375625025322</v>
      </c>
      <c r="FL265" s="396">
        <v>1131.134530314858</v>
      </c>
      <c r="FM265" s="396">
        <v>5.2021857923497263</v>
      </c>
      <c r="FN265" s="396">
        <v>1.0496573857229594</v>
      </c>
      <c r="FO265" s="396">
        <v>15.552953421805881</v>
      </c>
      <c r="FP265" s="396">
        <v>1.6747593026281551</v>
      </c>
      <c r="FQ265" s="396">
        <v>2107.4862641832638</v>
      </c>
      <c r="FR265" s="396">
        <v>22.52634894766917</v>
      </c>
      <c r="FS265" s="396">
        <v>0.38329469558618512</v>
      </c>
      <c r="FT265" s="396">
        <v>16.970713845937567</v>
      </c>
      <c r="FU265" s="396">
        <v>4.1680865659091406</v>
      </c>
      <c r="FV265" s="396">
        <v>0</v>
      </c>
      <c r="FW265" s="396">
        <v>0</v>
      </c>
      <c r="FX265" s="396">
        <v>0</v>
      </c>
      <c r="FY265" s="396">
        <v>0</v>
      </c>
      <c r="FZ265" s="396">
        <v>0</v>
      </c>
      <c r="GA265" s="396">
        <v>1860.7776721337455</v>
      </c>
      <c r="GB265" s="396">
        <v>6.2904682671737575</v>
      </c>
      <c r="GC265" s="396">
        <v>1.1643193883210523</v>
      </c>
      <c r="GD265" s="396">
        <v>29.320279692575866</v>
      </c>
      <c r="GE265" s="396">
        <v>1.3723754060692497</v>
      </c>
      <c r="GF265" s="396">
        <v>2371.257795015968</v>
      </c>
      <c r="GG265" s="396">
        <v>44.788987026226295</v>
      </c>
      <c r="GH265" s="396">
        <v>8.5562993286131834E-3</v>
      </c>
      <c r="GI265" s="396">
        <v>1.0384215640206751</v>
      </c>
      <c r="GJ265" s="396">
        <v>0.98070857989343818</v>
      </c>
      <c r="GK265" s="396">
        <v>0</v>
      </c>
      <c r="GL265" s="396">
        <v>0</v>
      </c>
      <c r="GM265" s="396">
        <v>0</v>
      </c>
      <c r="GN265" s="396">
        <v>0</v>
      </c>
      <c r="GO265" s="396">
        <v>0</v>
      </c>
      <c r="GP265" s="396">
        <v>1496.16003417968</v>
      </c>
      <c r="GQ265" s="396">
        <v>91.444299999999998</v>
      </c>
      <c r="GR265" s="396">
        <v>0.02</v>
      </c>
      <c r="GS265" s="396">
        <v>6.4268999999999998</v>
      </c>
      <c r="GT265" s="396">
        <v>2.8831000000000002</v>
      </c>
      <c r="GU265" s="396">
        <v>1896.9043139086127</v>
      </c>
      <c r="GV265" s="396">
        <v>6.2364065869168117</v>
      </c>
      <c r="GW265" s="396">
        <v>1.0634656851299942</v>
      </c>
      <c r="GX265" s="396">
        <v>29.948702805894715</v>
      </c>
      <c r="GY265" s="396">
        <v>2.8831000000000002</v>
      </c>
      <c r="GZ265" s="396">
        <v>0</v>
      </c>
      <c r="HA265" s="396">
        <v>0</v>
      </c>
      <c r="HB265" s="396">
        <v>0</v>
      </c>
      <c r="HC265" s="396">
        <v>0</v>
      </c>
      <c r="HD265" s="487">
        <v>0</v>
      </c>
    </row>
    <row r="266" spans="2:212" x14ac:dyDescent="0.35">
      <c r="B266" s="396">
        <v>1996</v>
      </c>
      <c r="C266" s="396">
        <v>397.98587599468976</v>
      </c>
      <c r="D266" s="396">
        <v>14.581189464340422</v>
      </c>
      <c r="E266" s="396">
        <v>2.4501928500168888E-2</v>
      </c>
      <c r="F266" s="396">
        <v>1.8341372023786144</v>
      </c>
      <c r="G266" s="396">
        <v>1.4101735257382111</v>
      </c>
      <c r="H266" s="396">
        <v>433.68810326928957</v>
      </c>
      <c r="I266" s="396">
        <v>13.508057263843442</v>
      </c>
      <c r="J266" s="396">
        <v>2.2986630653258403E-2</v>
      </c>
      <c r="K266" s="396">
        <v>1.7382233315137305</v>
      </c>
      <c r="L266" s="396">
        <v>0.6874185517435053</v>
      </c>
      <c r="M266" s="396">
        <v>390.27629215524024</v>
      </c>
      <c r="N266" s="396">
        <v>13.524255450833181</v>
      </c>
      <c r="O266" s="396">
        <v>1.9016730912833759E-2</v>
      </c>
      <c r="P266" s="396">
        <v>1.4756167295673641</v>
      </c>
      <c r="Q266" s="396">
        <v>1.2134789131297636</v>
      </c>
      <c r="R266" s="396">
        <v>0</v>
      </c>
      <c r="S266" s="396">
        <v>0</v>
      </c>
      <c r="T266" s="396">
        <v>0</v>
      </c>
      <c r="U266" s="396">
        <v>0</v>
      </c>
      <c r="V266" s="396">
        <v>0</v>
      </c>
      <c r="W266" s="396">
        <v>526.85955692590733</v>
      </c>
      <c r="X266" s="396">
        <v>18.704080676620642</v>
      </c>
      <c r="Y266" s="396">
        <v>2.5955011200354327E-2</v>
      </c>
      <c r="Z266" s="396">
        <v>3.2787369293710484</v>
      </c>
      <c r="AA266" s="396">
        <v>1.7153605264876313</v>
      </c>
      <c r="AB266" s="396">
        <v>607.59776464789365</v>
      </c>
      <c r="AC266" s="396">
        <v>9.3706830882682421</v>
      </c>
      <c r="AD266" s="396">
        <v>0.54368154554241854</v>
      </c>
      <c r="AE266" s="396">
        <v>5.9791123885364579</v>
      </c>
      <c r="AF266" s="396">
        <v>1.2519252066036346</v>
      </c>
      <c r="AG266" s="396">
        <v>557.49008884218574</v>
      </c>
      <c r="AH266" s="396">
        <v>15.321097630875048</v>
      </c>
      <c r="AI266" s="396">
        <v>2.2445428926251433E-2</v>
      </c>
      <c r="AJ266" s="396">
        <v>3.0285930932365304</v>
      </c>
      <c r="AK266" s="396">
        <v>1.3279279709591134</v>
      </c>
      <c r="AL266" s="396">
        <v>0</v>
      </c>
      <c r="AM266" s="396">
        <v>0</v>
      </c>
      <c r="AN266" s="396">
        <v>0</v>
      </c>
      <c r="AO266" s="396">
        <v>0</v>
      </c>
      <c r="AP266" s="396">
        <v>0</v>
      </c>
      <c r="AQ266" s="396">
        <v>527.57498701227678</v>
      </c>
      <c r="AR266" s="396">
        <v>22.305617076349584</v>
      </c>
      <c r="AS266" s="396">
        <v>3.0391819101522978E-2</v>
      </c>
      <c r="AT266" s="396">
        <v>3.260934751501563</v>
      </c>
      <c r="AU266" s="396">
        <v>1.8317656923595731</v>
      </c>
      <c r="AV266" s="396">
        <v>610.78749610920886</v>
      </c>
      <c r="AW266" s="396">
        <v>8.019609586909155</v>
      </c>
      <c r="AX266" s="396">
        <v>0.62249099559784782</v>
      </c>
      <c r="AY266" s="396">
        <v>6.3919694072657744</v>
      </c>
      <c r="AZ266" s="396">
        <v>1.2804704522210857</v>
      </c>
      <c r="BA266" s="396">
        <v>0</v>
      </c>
      <c r="BB266" s="396">
        <v>0</v>
      </c>
      <c r="BC266" s="396">
        <v>0</v>
      </c>
      <c r="BD266" s="396">
        <v>0</v>
      </c>
      <c r="BE266" s="396">
        <v>0</v>
      </c>
      <c r="BF266" s="396">
        <v>0</v>
      </c>
      <c r="BG266" s="396">
        <v>0</v>
      </c>
      <c r="BH266" s="396">
        <v>0</v>
      </c>
      <c r="BI266" s="396">
        <v>0</v>
      </c>
      <c r="BJ266" s="396">
        <v>0</v>
      </c>
      <c r="BK266" s="396">
        <v>1060.1567942146396</v>
      </c>
      <c r="BL266" s="396">
        <v>106.78515488159903</v>
      </c>
      <c r="BM266" s="396">
        <v>0.23319575922786701</v>
      </c>
      <c r="BN266" s="396">
        <v>7.4049228712588224</v>
      </c>
      <c r="BO266" s="396">
        <v>3.0408132038928772</v>
      </c>
      <c r="BP266" s="396">
        <v>1786.8203065167827</v>
      </c>
      <c r="BQ266" s="396">
        <v>6.8133522302132947</v>
      </c>
      <c r="BR266" s="396">
        <v>1.1409739522354949</v>
      </c>
      <c r="BS266" s="396">
        <v>28.02867982992808</v>
      </c>
      <c r="BT266" s="396">
        <v>1.4138636783774503</v>
      </c>
      <c r="BU266" s="396">
        <v>2443.3368995120422</v>
      </c>
      <c r="BV266" s="396">
        <v>29.185084674999349</v>
      </c>
      <c r="BW266" s="396">
        <v>0.34696135479998957</v>
      </c>
      <c r="BX266" s="396">
        <v>19.557445920204575</v>
      </c>
      <c r="BY266" s="396">
        <v>4.9426649792552766</v>
      </c>
      <c r="BZ266" s="396">
        <v>0</v>
      </c>
      <c r="CA266" s="396">
        <v>0</v>
      </c>
      <c r="CB266" s="396">
        <v>0</v>
      </c>
      <c r="CC266" s="396">
        <v>0</v>
      </c>
      <c r="CD266" s="396">
        <v>0</v>
      </c>
      <c r="CE266" s="396">
        <v>1015.1402524961197</v>
      </c>
      <c r="CF266" s="396">
        <v>100.18613114812591</v>
      </c>
      <c r="CG266" s="396">
        <v>0.19576150236975282</v>
      </c>
      <c r="CH266" s="396">
        <v>7.1268308347357596</v>
      </c>
      <c r="CI266" s="396">
        <v>2.8797461956101595</v>
      </c>
      <c r="CJ266" s="396">
        <v>1690.9106273441714</v>
      </c>
      <c r="CK266" s="396">
        <v>9.7994006721312523</v>
      </c>
      <c r="CL266" s="396">
        <v>0.58429916991140085</v>
      </c>
      <c r="CM266" s="396">
        <v>30.849752013468628</v>
      </c>
      <c r="CN266" s="396">
        <v>1.9705503805926974</v>
      </c>
      <c r="CO266" s="396">
        <v>2310.5355190203909</v>
      </c>
      <c r="CP266" s="396">
        <v>28.039143901769329</v>
      </c>
      <c r="CQ266" s="396">
        <v>0.36571319842191213</v>
      </c>
      <c r="CR266" s="396">
        <v>18.772983674786722</v>
      </c>
      <c r="CS266" s="396">
        <v>4.5680297505214531</v>
      </c>
      <c r="CT266" s="396">
        <v>0</v>
      </c>
      <c r="CU266" s="396">
        <v>0</v>
      </c>
      <c r="CV266" s="396">
        <v>0</v>
      </c>
      <c r="CW266" s="396">
        <v>0</v>
      </c>
      <c r="CX266" s="396">
        <v>0</v>
      </c>
      <c r="CY266" s="396">
        <v>1248.1002338920216</v>
      </c>
      <c r="CZ266" s="396">
        <v>122.49924785760733</v>
      </c>
      <c r="DA266" s="396">
        <v>3.6188821708285218E-2</v>
      </c>
      <c r="DB266" s="396">
        <v>6.764467822863188</v>
      </c>
      <c r="DC266" s="396">
        <v>3.7318491056784322</v>
      </c>
      <c r="DD266" s="396">
        <v>1254.0736067297582</v>
      </c>
      <c r="DE266" s="396">
        <v>4.904925341745531</v>
      </c>
      <c r="DF266" s="396">
        <v>1.1289589905362778</v>
      </c>
      <c r="DG266" s="396">
        <v>18.230157728706626</v>
      </c>
      <c r="DH266" s="396">
        <v>2.038889589905363</v>
      </c>
      <c r="DI266" s="396">
        <v>1970.5250424814953</v>
      </c>
      <c r="DJ266" s="396">
        <v>21.175023760836382</v>
      </c>
      <c r="DK266" s="396">
        <v>0.33492295728809657</v>
      </c>
      <c r="DL266" s="396">
        <v>15.662048904121425</v>
      </c>
      <c r="DM266" s="396">
        <v>3.8629359753463319</v>
      </c>
      <c r="DN266" s="396">
        <v>0</v>
      </c>
      <c r="DO266" s="396">
        <v>0</v>
      </c>
      <c r="DP266" s="396">
        <v>0</v>
      </c>
      <c r="DQ266" s="396">
        <v>0</v>
      </c>
      <c r="DR266" s="396">
        <v>0</v>
      </c>
      <c r="DS266" s="396">
        <v>1102.575395371784</v>
      </c>
      <c r="DT266" s="396">
        <v>94.451137785663931</v>
      </c>
      <c r="DU266" s="396">
        <v>0.17013489964575876</v>
      </c>
      <c r="DV266" s="396">
        <v>7.3579911789056007</v>
      </c>
      <c r="DW266" s="396">
        <v>3.4432758741162495</v>
      </c>
      <c r="DX266" s="396">
        <v>1848.6331773133807</v>
      </c>
      <c r="DY266" s="396">
        <v>6.7617619267365461</v>
      </c>
      <c r="DZ266" s="396">
        <v>1.2364141780385434</v>
      </c>
      <c r="EA266" s="396">
        <v>29.027841870481467</v>
      </c>
      <c r="EB266" s="396">
        <v>1.5534807831762147</v>
      </c>
      <c r="EC266" s="396">
        <v>1884.3662864129581</v>
      </c>
      <c r="ED266" s="396">
        <v>3.4668162394024624</v>
      </c>
      <c r="EE266" s="396">
        <v>1.2649535746135252E-2</v>
      </c>
      <c r="EF266" s="396">
        <v>9.3779684202455833</v>
      </c>
      <c r="EG266" s="396">
        <v>0.40107498678460318</v>
      </c>
      <c r="EH266" s="396">
        <v>0</v>
      </c>
      <c r="EI266" s="396">
        <v>0</v>
      </c>
      <c r="EJ266" s="396">
        <v>0</v>
      </c>
      <c r="EK266" s="396">
        <v>0</v>
      </c>
      <c r="EL266" s="396">
        <v>0</v>
      </c>
      <c r="EM266" s="396">
        <v>917.41403300896388</v>
      </c>
      <c r="EN266" s="396">
        <v>73.151786302029066</v>
      </c>
      <c r="EO266" s="396">
        <v>9.4001094094387214E-2</v>
      </c>
      <c r="EP266" s="396">
        <v>6.1020277064649173</v>
      </c>
      <c r="EQ266" s="396">
        <v>5.2759637450714676</v>
      </c>
      <c r="ER266" s="396">
        <v>1161.6411306901978</v>
      </c>
      <c r="ES266" s="396">
        <v>6.1112396869206407</v>
      </c>
      <c r="ET266" s="396">
        <v>1.1750619831149871</v>
      </c>
      <c r="EU266" s="396">
        <v>16.257795592366538</v>
      </c>
      <c r="EV266" s="396">
        <v>1.7916259395950844</v>
      </c>
      <c r="EW266" s="396">
        <v>2399.2519839907095</v>
      </c>
      <c r="EX266" s="396">
        <v>25.753666714536362</v>
      </c>
      <c r="EY266" s="396">
        <v>0.38197144052398591</v>
      </c>
      <c r="EZ266" s="396">
        <v>18.146568679483256</v>
      </c>
      <c r="FA266" s="396">
        <v>4.7459680188814728</v>
      </c>
      <c r="FB266" s="396">
        <v>0</v>
      </c>
      <c r="FC266" s="396">
        <v>0</v>
      </c>
      <c r="FD266" s="396">
        <v>0</v>
      </c>
      <c r="FE266" s="396">
        <v>0</v>
      </c>
      <c r="FF266" s="396">
        <v>0</v>
      </c>
      <c r="FG266" s="396">
        <v>830.11773620431336</v>
      </c>
      <c r="FH266" s="396">
        <v>58.176380429728539</v>
      </c>
      <c r="FI266" s="396">
        <v>6.7211816099607927E-2</v>
      </c>
      <c r="FJ266" s="396">
        <v>5.0423701084367094</v>
      </c>
      <c r="FK266" s="396">
        <v>3.7471398311165713</v>
      </c>
      <c r="FL266" s="396">
        <v>1225.8617055328716</v>
      </c>
      <c r="FM266" s="396">
        <v>5.360663288807002</v>
      </c>
      <c r="FN266" s="396">
        <v>1.0611715291711232</v>
      </c>
      <c r="FO266" s="396">
        <v>17.428819024272187</v>
      </c>
      <c r="FP266" s="396">
        <v>1.5974205435283277</v>
      </c>
      <c r="FQ266" s="396">
        <v>2107.4862641832638</v>
      </c>
      <c r="FR266" s="396">
        <v>22.52634894766917</v>
      </c>
      <c r="FS266" s="396">
        <v>0.38329469558618512</v>
      </c>
      <c r="FT266" s="396">
        <v>16.970713845937567</v>
      </c>
      <c r="FU266" s="396">
        <v>4.1680865659091406</v>
      </c>
      <c r="FV266" s="396">
        <v>0</v>
      </c>
      <c r="FW266" s="396">
        <v>0</v>
      </c>
      <c r="FX266" s="396">
        <v>0</v>
      </c>
      <c r="FY266" s="396">
        <v>0</v>
      </c>
      <c r="FZ266" s="396">
        <v>0</v>
      </c>
      <c r="GA266" s="396">
        <v>1860.5201483537737</v>
      </c>
      <c r="GB266" s="396">
        <v>6.2869917404264042</v>
      </c>
      <c r="GC266" s="396">
        <v>1.1648729208855719</v>
      </c>
      <c r="GD266" s="396">
        <v>29.317276843614188</v>
      </c>
      <c r="GE266" s="396">
        <v>1.3738765387153291</v>
      </c>
      <c r="GF266" s="396">
        <v>2371.257795015968</v>
      </c>
      <c r="GG266" s="396">
        <v>44.788987026226295</v>
      </c>
      <c r="GH266" s="396">
        <v>8.5562993286131834E-3</v>
      </c>
      <c r="GI266" s="396">
        <v>1.0384215640206751</v>
      </c>
      <c r="GJ266" s="396">
        <v>0.98070857989343818</v>
      </c>
      <c r="GK266" s="396">
        <v>0</v>
      </c>
      <c r="GL266" s="396">
        <v>0</v>
      </c>
      <c r="GM266" s="396">
        <v>0</v>
      </c>
      <c r="GN266" s="396">
        <v>0</v>
      </c>
      <c r="GO266" s="396">
        <v>0</v>
      </c>
      <c r="GP266" s="396">
        <v>1496.15002441406</v>
      </c>
      <c r="GQ266" s="396">
        <v>84.084299999999999</v>
      </c>
      <c r="GR266" s="396">
        <v>1.54E-2</v>
      </c>
      <c r="GS266" s="396">
        <v>6.2373000000000003</v>
      </c>
      <c r="GT266" s="396">
        <v>2.8511000000000002</v>
      </c>
      <c r="GU266" s="396">
        <v>1893.9201773329219</v>
      </c>
      <c r="GV266" s="396">
        <v>6.2057953130177443</v>
      </c>
      <c r="GW266" s="396">
        <v>1.067939533129949</v>
      </c>
      <c r="GX266" s="396">
        <v>29.931957632057042</v>
      </c>
      <c r="GY266" s="396">
        <v>2.8511000000000002</v>
      </c>
      <c r="GZ266" s="396">
        <v>0</v>
      </c>
      <c r="HA266" s="396">
        <v>0</v>
      </c>
      <c r="HB266" s="396">
        <v>0</v>
      </c>
      <c r="HC266" s="396">
        <v>0</v>
      </c>
      <c r="HD266" s="487">
        <v>0</v>
      </c>
    </row>
    <row r="267" spans="2:212" x14ac:dyDescent="0.35">
      <c r="B267" s="396">
        <v>1997</v>
      </c>
      <c r="C267" s="396">
        <v>391.86499929026098</v>
      </c>
      <c r="D267" s="396">
        <v>14.342294600138608</v>
      </c>
      <c r="E267" s="396">
        <v>1.8669364602671403E-2</v>
      </c>
      <c r="F267" s="396">
        <v>1.809995908563349</v>
      </c>
      <c r="G267" s="396">
        <v>1.3355228549877951</v>
      </c>
      <c r="H267" s="396">
        <v>433.72999212402971</v>
      </c>
      <c r="I267" s="396">
        <v>13.269906744833884</v>
      </c>
      <c r="J267" s="396">
        <v>1.6568743123848869E-2</v>
      </c>
      <c r="K267" s="396">
        <v>1.7152514947488422</v>
      </c>
      <c r="L267" s="396">
        <v>0.64288450517760776</v>
      </c>
      <c r="M267" s="396">
        <v>390.27629215524024</v>
      </c>
      <c r="N267" s="396">
        <v>13.524255450833181</v>
      </c>
      <c r="O267" s="396">
        <v>1.9016730912833759E-2</v>
      </c>
      <c r="P267" s="396">
        <v>1.4756167295673641</v>
      </c>
      <c r="Q267" s="396">
        <v>1.2134789131297636</v>
      </c>
      <c r="R267" s="396">
        <v>0</v>
      </c>
      <c r="S267" s="396">
        <v>0</v>
      </c>
      <c r="T267" s="396">
        <v>0</v>
      </c>
      <c r="U267" s="396">
        <v>0</v>
      </c>
      <c r="V267" s="396">
        <v>0</v>
      </c>
      <c r="W267" s="396">
        <v>567.58806298603781</v>
      </c>
      <c r="X267" s="396">
        <v>18.598984431921252</v>
      </c>
      <c r="Y267" s="396">
        <v>2.7268672029500542E-2</v>
      </c>
      <c r="Z267" s="396">
        <v>3.2358407803369369</v>
      </c>
      <c r="AA267" s="396">
        <v>1.5001877239677039</v>
      </c>
      <c r="AB267" s="396">
        <v>648.41906936455405</v>
      </c>
      <c r="AC267" s="396">
        <v>9.7740273115197756</v>
      </c>
      <c r="AD267" s="396">
        <v>0.5175018062646447</v>
      </c>
      <c r="AE267" s="396">
        <v>5.8121404934595251</v>
      </c>
      <c r="AF267" s="396">
        <v>1.1360546390065347</v>
      </c>
      <c r="AG267" s="396">
        <v>557.49008884218574</v>
      </c>
      <c r="AH267" s="396">
        <v>15.321097630875048</v>
      </c>
      <c r="AI267" s="396">
        <v>2.2445428926251433E-2</v>
      </c>
      <c r="AJ267" s="396">
        <v>3.0285930932365304</v>
      </c>
      <c r="AK267" s="396">
        <v>1.3279279709591134</v>
      </c>
      <c r="AL267" s="396">
        <v>0</v>
      </c>
      <c r="AM267" s="396">
        <v>0</v>
      </c>
      <c r="AN267" s="396">
        <v>0</v>
      </c>
      <c r="AO267" s="396">
        <v>0</v>
      </c>
      <c r="AP267" s="396">
        <v>0</v>
      </c>
      <c r="AQ267" s="396">
        <v>568.64059948699594</v>
      </c>
      <c r="AR267" s="396">
        <v>22.319163075738761</v>
      </c>
      <c r="AS267" s="396">
        <v>3.0980811965683461E-2</v>
      </c>
      <c r="AT267" s="396">
        <v>3.2547188250824686</v>
      </c>
      <c r="AU267" s="396">
        <v>1.6574901293335458</v>
      </c>
      <c r="AV267" s="396">
        <v>652.80528757601155</v>
      </c>
      <c r="AW267" s="396">
        <v>8.2784412755529679</v>
      </c>
      <c r="AX267" s="396">
        <v>0.60548190937872048</v>
      </c>
      <c r="AY267" s="396">
        <v>6.2866577330265292</v>
      </c>
      <c r="AZ267" s="396">
        <v>1.1954972318172838</v>
      </c>
      <c r="BA267" s="396">
        <v>0</v>
      </c>
      <c r="BB267" s="396">
        <v>0</v>
      </c>
      <c r="BC267" s="396">
        <v>0</v>
      </c>
      <c r="BD267" s="396">
        <v>0</v>
      </c>
      <c r="BE267" s="396">
        <v>0</v>
      </c>
      <c r="BF267" s="396">
        <v>0</v>
      </c>
      <c r="BG267" s="396">
        <v>0</v>
      </c>
      <c r="BH267" s="396">
        <v>0</v>
      </c>
      <c r="BI267" s="396">
        <v>0</v>
      </c>
      <c r="BJ267" s="396">
        <v>0</v>
      </c>
      <c r="BK267" s="396">
        <v>1138.4533212482195</v>
      </c>
      <c r="BL267" s="396">
        <v>106.80046614010099</v>
      </c>
      <c r="BM267" s="396">
        <v>0.14613265570374206</v>
      </c>
      <c r="BN267" s="396">
        <v>7.4049268419008145</v>
      </c>
      <c r="BO267" s="396">
        <v>3.0220154085200051</v>
      </c>
      <c r="BP267" s="396">
        <v>1780.457257543816</v>
      </c>
      <c r="BQ267" s="396">
        <v>6.815688959073972</v>
      </c>
      <c r="BR267" s="396">
        <v>1.1444624228893261</v>
      </c>
      <c r="BS267" s="396">
        <v>27.867855837073805</v>
      </c>
      <c r="BT267" s="396">
        <v>1.4093769690934974</v>
      </c>
      <c r="BU267" s="396">
        <v>2443.3339402890456</v>
      </c>
      <c r="BV267" s="396">
        <v>29.185060796730532</v>
      </c>
      <c r="BW267" s="396">
        <v>0.34695948907816915</v>
      </c>
      <c r="BX267" s="396">
        <v>19.557428126327718</v>
      </c>
      <c r="BY267" s="396">
        <v>4.9426764049338745</v>
      </c>
      <c r="BZ267" s="396">
        <v>0</v>
      </c>
      <c r="CA267" s="396">
        <v>0</v>
      </c>
      <c r="CB267" s="396">
        <v>0</v>
      </c>
      <c r="CC267" s="396">
        <v>0</v>
      </c>
      <c r="CD267" s="396">
        <v>0</v>
      </c>
      <c r="CE267" s="396">
        <v>1090.8306189464756</v>
      </c>
      <c r="CF267" s="396">
        <v>100.19964411985936</v>
      </c>
      <c r="CG267" s="396">
        <v>0.13076640146858548</v>
      </c>
      <c r="CH267" s="396">
        <v>7.1267980396769914</v>
      </c>
      <c r="CI267" s="396">
        <v>2.8555570650823268</v>
      </c>
      <c r="CJ267" s="396">
        <v>1685.2025489575433</v>
      </c>
      <c r="CK267" s="396">
        <v>9.7762993133899911</v>
      </c>
      <c r="CL267" s="396">
        <v>0.59014020859088678</v>
      </c>
      <c r="CM267" s="396">
        <v>30.674486336480715</v>
      </c>
      <c r="CN267" s="396">
        <v>1.9619846194579984</v>
      </c>
      <c r="CO267" s="396">
        <v>2310.5465716307403</v>
      </c>
      <c r="CP267" s="396">
        <v>28.039107398650401</v>
      </c>
      <c r="CQ267" s="396">
        <v>0.3657128557375352</v>
      </c>
      <c r="CR267" s="396">
        <v>18.773104602799307</v>
      </c>
      <c r="CS267" s="396">
        <v>4.5680410058160614</v>
      </c>
      <c r="CT267" s="396">
        <v>0</v>
      </c>
      <c r="CU267" s="396">
        <v>0</v>
      </c>
      <c r="CV267" s="396">
        <v>0</v>
      </c>
      <c r="CW267" s="396">
        <v>0</v>
      </c>
      <c r="CX267" s="396">
        <v>0</v>
      </c>
      <c r="CY267" s="396">
        <v>1252.6872100305466</v>
      </c>
      <c r="CZ267" s="396">
        <v>122.51760585882082</v>
      </c>
      <c r="DA267" s="396">
        <v>4.8435155481141606E-2</v>
      </c>
      <c r="DB267" s="396">
        <v>6.7644840940172042</v>
      </c>
      <c r="DC267" s="396">
        <v>3.6724351682621643</v>
      </c>
      <c r="DD267" s="396">
        <v>1255.0833344091714</v>
      </c>
      <c r="DE267" s="396">
        <v>4.9049303502498089</v>
      </c>
      <c r="DF267" s="396">
        <v>1.1289585458113323</v>
      </c>
      <c r="DG267" s="396">
        <v>18.230160471991631</v>
      </c>
      <c r="DH267" s="396">
        <v>2.0389238177616544</v>
      </c>
      <c r="DI267" s="396">
        <v>1970.5250424814953</v>
      </c>
      <c r="DJ267" s="396">
        <v>21.175023760836382</v>
      </c>
      <c r="DK267" s="396">
        <v>0.33492295728809657</v>
      </c>
      <c r="DL267" s="396">
        <v>15.662048904121425</v>
      </c>
      <c r="DM267" s="396">
        <v>3.8629359753463319</v>
      </c>
      <c r="DN267" s="396">
        <v>0</v>
      </c>
      <c r="DO267" s="396">
        <v>0</v>
      </c>
      <c r="DP267" s="396">
        <v>0</v>
      </c>
      <c r="DQ267" s="396">
        <v>0</v>
      </c>
      <c r="DR267" s="396">
        <v>0</v>
      </c>
      <c r="DS267" s="396">
        <v>1610.491129720225</v>
      </c>
      <c r="DT267" s="396">
        <v>169.86094564917315</v>
      </c>
      <c r="DU267" s="396">
        <v>6.6859749348998812E-2</v>
      </c>
      <c r="DV267" s="396">
        <v>8.4927363936399622</v>
      </c>
      <c r="DW267" s="396">
        <v>4.1294242587788794</v>
      </c>
      <c r="DX267" s="396">
        <v>1850.4946759247916</v>
      </c>
      <c r="DY267" s="396">
        <v>6.7858560417105647</v>
      </c>
      <c r="DZ267" s="396">
        <v>1.2311868792049905</v>
      </c>
      <c r="EA267" s="396">
        <v>29.049163779627882</v>
      </c>
      <c r="EB267" s="396">
        <v>1.5360336742244198</v>
      </c>
      <c r="EC267" s="396">
        <v>1884.3662864129581</v>
      </c>
      <c r="ED267" s="396">
        <v>3.4668162394024624</v>
      </c>
      <c r="EE267" s="396">
        <v>1.2649535746135252E-2</v>
      </c>
      <c r="EF267" s="396">
        <v>9.3779684202455833</v>
      </c>
      <c r="EG267" s="396">
        <v>0.40107498678460318</v>
      </c>
      <c r="EH267" s="396">
        <v>0</v>
      </c>
      <c r="EI267" s="396">
        <v>0</v>
      </c>
      <c r="EJ267" s="396">
        <v>0</v>
      </c>
      <c r="EK267" s="396">
        <v>0</v>
      </c>
      <c r="EL267" s="396">
        <v>0</v>
      </c>
      <c r="EM267" s="396">
        <v>979.0809327846365</v>
      </c>
      <c r="EN267" s="396">
        <v>74.863834422657959</v>
      </c>
      <c r="EO267" s="396">
        <v>8.0362906479464216E-2</v>
      </c>
      <c r="EP267" s="396">
        <v>6.1189496374681562</v>
      </c>
      <c r="EQ267" s="396">
        <v>4.9307500778089013</v>
      </c>
      <c r="ER267" s="396">
        <v>1142.1533769137843</v>
      </c>
      <c r="ES267" s="396">
        <v>6.0531275970493237</v>
      </c>
      <c r="ET267" s="396">
        <v>1.1728339002219006</v>
      </c>
      <c r="EU267" s="396">
        <v>15.363137107069115</v>
      </c>
      <c r="EV267" s="396">
        <v>1.7776111858394947</v>
      </c>
      <c r="EW267" s="396">
        <v>2399.2519839907095</v>
      </c>
      <c r="EX267" s="396">
        <v>25.753666714536362</v>
      </c>
      <c r="EY267" s="396">
        <v>0.38197144052398591</v>
      </c>
      <c r="EZ267" s="396">
        <v>18.146568679483256</v>
      </c>
      <c r="FA267" s="396">
        <v>4.7459680188814728</v>
      </c>
      <c r="FB267" s="396">
        <v>0</v>
      </c>
      <c r="FC267" s="396">
        <v>0</v>
      </c>
      <c r="FD267" s="396">
        <v>0</v>
      </c>
      <c r="FE267" s="396">
        <v>0</v>
      </c>
      <c r="FF267" s="396">
        <v>0</v>
      </c>
      <c r="FG267" s="396">
        <v>798.18017163310196</v>
      </c>
      <c r="FH267" s="396">
        <v>43.677318268719361</v>
      </c>
      <c r="FI267" s="396">
        <v>5.2893921378978949E-2</v>
      </c>
      <c r="FJ267" s="396">
        <v>4.6112996925882346</v>
      </c>
      <c r="FK267" s="396">
        <v>3.4596452751612521</v>
      </c>
      <c r="FL267" s="396">
        <v>1249.2101586497972</v>
      </c>
      <c r="FM267" s="396">
        <v>5.310638477403316</v>
      </c>
      <c r="FN267" s="396">
        <v>1.0513855285811415</v>
      </c>
      <c r="FO267" s="396">
        <v>17.693582123216874</v>
      </c>
      <c r="FP267" s="396">
        <v>1.6337667521821042</v>
      </c>
      <c r="FQ267" s="396">
        <v>2107.4862641832638</v>
      </c>
      <c r="FR267" s="396">
        <v>22.52634894766917</v>
      </c>
      <c r="FS267" s="396">
        <v>0.38329469558618512</v>
      </c>
      <c r="FT267" s="396">
        <v>16.970713845937567</v>
      </c>
      <c r="FU267" s="396">
        <v>4.1680865659091406</v>
      </c>
      <c r="FV267" s="396">
        <v>0</v>
      </c>
      <c r="FW267" s="396">
        <v>0</v>
      </c>
      <c r="FX267" s="396">
        <v>0</v>
      </c>
      <c r="FY267" s="396">
        <v>0</v>
      </c>
      <c r="FZ267" s="396">
        <v>0</v>
      </c>
      <c r="GA267" s="396">
        <v>1869.3660410817201</v>
      </c>
      <c r="GB267" s="396">
        <v>6.3952925143260595</v>
      </c>
      <c r="GC267" s="396">
        <v>1.1481269395596276</v>
      </c>
      <c r="GD267" s="396">
        <v>29.412446841699097</v>
      </c>
      <c r="GE267" s="396">
        <v>1.327602909544686</v>
      </c>
      <c r="GF267" s="396">
        <v>2371.257795015968</v>
      </c>
      <c r="GG267" s="396">
        <v>44.788987026226295</v>
      </c>
      <c r="GH267" s="396">
        <v>8.5562993286131834E-3</v>
      </c>
      <c r="GI267" s="396">
        <v>1.0384215640206751</v>
      </c>
      <c r="GJ267" s="396">
        <v>0.98070857989343818</v>
      </c>
      <c r="GK267" s="396">
        <v>0</v>
      </c>
      <c r="GL267" s="396">
        <v>0</v>
      </c>
      <c r="GM267" s="396">
        <v>0</v>
      </c>
      <c r="GN267" s="396">
        <v>0</v>
      </c>
      <c r="GO267" s="396">
        <v>0</v>
      </c>
      <c r="GP267" s="396">
        <v>1496.15002441406</v>
      </c>
      <c r="GQ267" s="396">
        <v>77.484899999999996</v>
      </c>
      <c r="GR267" s="396">
        <v>1.66E-2</v>
      </c>
      <c r="GS267" s="396">
        <v>6.0677000000000003</v>
      </c>
      <c r="GT267" s="396">
        <v>2.6581000000000001</v>
      </c>
      <c r="GU267" s="396">
        <v>1896.7691415313225</v>
      </c>
      <c r="GV267" s="396">
        <v>6.2426914153132245</v>
      </c>
      <c r="GW267" s="396">
        <v>1.0625406032482598</v>
      </c>
      <c r="GX267" s="396">
        <v>29.952088167053365</v>
      </c>
      <c r="GY267" s="396">
        <v>2.6581000000000001</v>
      </c>
      <c r="GZ267" s="396">
        <v>0</v>
      </c>
      <c r="HA267" s="396">
        <v>0</v>
      </c>
      <c r="HB267" s="396">
        <v>0</v>
      </c>
      <c r="HC267" s="396">
        <v>0</v>
      </c>
      <c r="HD267" s="487">
        <v>0</v>
      </c>
    </row>
    <row r="268" spans="2:212" x14ac:dyDescent="0.35">
      <c r="B268" s="396">
        <v>1998</v>
      </c>
      <c r="C268" s="396">
        <v>392.85892786130734</v>
      </c>
      <c r="D268" s="396">
        <v>13.678384468787417</v>
      </c>
      <c r="E268" s="396">
        <v>1.9015522085778919E-2</v>
      </c>
      <c r="F268" s="396">
        <v>1.4645717029964167</v>
      </c>
      <c r="G268" s="396">
        <v>1.1020441867691764</v>
      </c>
      <c r="H268" s="396">
        <v>433.83060635226178</v>
      </c>
      <c r="I268" s="396">
        <v>12.610536033470174</v>
      </c>
      <c r="J268" s="396">
        <v>1.7369429003555224E-2</v>
      </c>
      <c r="K268" s="396">
        <v>1.3867631749523679</v>
      </c>
      <c r="L268" s="396">
        <v>0.54466520005499786</v>
      </c>
      <c r="M268" s="396">
        <v>390.27629215524024</v>
      </c>
      <c r="N268" s="396">
        <v>13.524255450833181</v>
      </c>
      <c r="O268" s="396">
        <v>1.9016730912833759E-2</v>
      </c>
      <c r="P268" s="396">
        <v>1.4756167295673641</v>
      </c>
      <c r="Q268" s="396">
        <v>1.2134789131297636</v>
      </c>
      <c r="R268" s="396">
        <v>0</v>
      </c>
      <c r="S268" s="396">
        <v>0</v>
      </c>
      <c r="T268" s="396">
        <v>0</v>
      </c>
      <c r="U268" s="396">
        <v>0</v>
      </c>
      <c r="V268" s="396">
        <v>0</v>
      </c>
      <c r="W268" s="396">
        <v>565.62545349597508</v>
      </c>
      <c r="X268" s="396">
        <v>16.050227379824584</v>
      </c>
      <c r="Y268" s="396">
        <v>2.3805338738054203E-2</v>
      </c>
      <c r="Z268" s="396">
        <v>3.0418512582118438</v>
      </c>
      <c r="AA268" s="396">
        <v>1.2439755352679234</v>
      </c>
      <c r="AB268" s="396">
        <v>686.44660096540633</v>
      </c>
      <c r="AC268" s="396">
        <v>5.3693684633950118</v>
      </c>
      <c r="AD268" s="396">
        <v>0.40731345534995977</v>
      </c>
      <c r="AE268" s="396">
        <v>6.2462163113435238</v>
      </c>
      <c r="AF268" s="396">
        <v>1.4038239139179405</v>
      </c>
      <c r="AG268" s="396">
        <v>557.49008884218574</v>
      </c>
      <c r="AH268" s="396">
        <v>15.321097630875048</v>
      </c>
      <c r="AI268" s="396">
        <v>2.2445428926251433E-2</v>
      </c>
      <c r="AJ268" s="396">
        <v>3.0285930932365304</v>
      </c>
      <c r="AK268" s="396">
        <v>1.3279279709591134</v>
      </c>
      <c r="AL268" s="396">
        <v>0</v>
      </c>
      <c r="AM268" s="396">
        <v>0</v>
      </c>
      <c r="AN268" s="396">
        <v>0</v>
      </c>
      <c r="AO268" s="396">
        <v>0</v>
      </c>
      <c r="AP268" s="396">
        <v>0</v>
      </c>
      <c r="AQ268" s="396">
        <v>569.32834067953524</v>
      </c>
      <c r="AR268" s="396">
        <v>17.499758197117707</v>
      </c>
      <c r="AS268" s="396">
        <v>2.8269934920481399E-2</v>
      </c>
      <c r="AT268" s="396">
        <v>3.0947452779351412</v>
      </c>
      <c r="AU268" s="396">
        <v>1.3007060644162878</v>
      </c>
      <c r="AV268" s="396">
        <v>692.26569929207903</v>
      </c>
      <c r="AW268" s="396">
        <v>5.3683830521607439</v>
      </c>
      <c r="AX268" s="396">
        <v>0.41137721738926264</v>
      </c>
      <c r="AY268" s="396">
        <v>6.2550041676939152</v>
      </c>
      <c r="AZ268" s="396">
        <v>1.407418495168997</v>
      </c>
      <c r="BA268" s="396">
        <v>541.96086430093442</v>
      </c>
      <c r="BB268" s="396">
        <v>14.223253149560168</v>
      </c>
      <c r="BC268" s="396">
        <v>2.044241393227415E-2</v>
      </c>
      <c r="BD268" s="396">
        <v>2.8771986164935837</v>
      </c>
      <c r="BE268" s="396">
        <v>1.2624170568808613</v>
      </c>
      <c r="BF268" s="396">
        <v>0</v>
      </c>
      <c r="BG268" s="396">
        <v>0</v>
      </c>
      <c r="BH268" s="396">
        <v>0</v>
      </c>
      <c r="BI268" s="396">
        <v>0</v>
      </c>
      <c r="BJ268" s="396">
        <v>0</v>
      </c>
      <c r="BK268" s="396">
        <v>1132.3756306059506</v>
      </c>
      <c r="BL268" s="396">
        <v>36.243238717376357</v>
      </c>
      <c r="BM268" s="396">
        <v>0.17747686084642236</v>
      </c>
      <c r="BN268" s="396">
        <v>4.3832458383665296</v>
      </c>
      <c r="BO268" s="396">
        <v>1.7585431559643172</v>
      </c>
      <c r="BP268" s="396">
        <v>1782.1086431312967</v>
      </c>
      <c r="BQ268" s="396">
        <v>6.8025846800729655</v>
      </c>
      <c r="BR268" s="396">
        <v>0.87080353869732474</v>
      </c>
      <c r="BS268" s="396">
        <v>25.578483377574411</v>
      </c>
      <c r="BT268" s="396">
        <v>1.4199950532438794</v>
      </c>
      <c r="BU268" s="396">
        <v>2443.3267089921037</v>
      </c>
      <c r="BV268" s="396">
        <v>29.185010620440881</v>
      </c>
      <c r="BW268" s="396">
        <v>0.34695915380391562</v>
      </c>
      <c r="BX268" s="396">
        <v>19.557439291527682</v>
      </c>
      <c r="BY268" s="396">
        <v>4.9426378947491836</v>
      </c>
      <c r="BZ268" s="396">
        <v>0</v>
      </c>
      <c r="CA268" s="396">
        <v>0</v>
      </c>
      <c r="CB268" s="396">
        <v>0</v>
      </c>
      <c r="CC268" s="396">
        <v>0</v>
      </c>
      <c r="CD268" s="396">
        <v>0</v>
      </c>
      <c r="CE268" s="396">
        <v>1085.1375126873099</v>
      </c>
      <c r="CF268" s="396">
        <v>33.715860576104888</v>
      </c>
      <c r="CG268" s="396">
        <v>0.15752588578543786</v>
      </c>
      <c r="CH268" s="396">
        <v>4.2323274495231775</v>
      </c>
      <c r="CI268" s="396">
        <v>1.6504705782964664</v>
      </c>
      <c r="CJ268" s="396">
        <v>1686.404555485891</v>
      </c>
      <c r="CK268" s="396">
        <v>9.7371348934054218</v>
      </c>
      <c r="CL268" s="396">
        <v>0.42969281403366388</v>
      </c>
      <c r="CM268" s="396">
        <v>25.153958858933272</v>
      </c>
      <c r="CN268" s="396">
        <v>1.9660999472806282</v>
      </c>
      <c r="CO268" s="396">
        <v>2310.5347115124259</v>
      </c>
      <c r="CP268" s="396">
        <v>28.039096806093497</v>
      </c>
      <c r="CQ268" s="396">
        <v>0.36571288982023237</v>
      </c>
      <c r="CR268" s="396">
        <v>18.773030149629754</v>
      </c>
      <c r="CS268" s="396">
        <v>4.5680338579988931</v>
      </c>
      <c r="CT268" s="396">
        <v>0</v>
      </c>
      <c r="CU268" s="396">
        <v>0</v>
      </c>
      <c r="CV268" s="396">
        <v>0</v>
      </c>
      <c r="CW268" s="396">
        <v>0</v>
      </c>
      <c r="CX268" s="396">
        <v>0</v>
      </c>
      <c r="CY268" s="396">
        <v>1248.3162436263797</v>
      </c>
      <c r="CZ268" s="396">
        <v>36.034403541211404</v>
      </c>
      <c r="DA268" s="396">
        <v>4.2031041631646775E-2</v>
      </c>
      <c r="DB268" s="396">
        <v>4.6906034627668518</v>
      </c>
      <c r="DC268" s="396">
        <v>2.2109766347285258</v>
      </c>
      <c r="DD268" s="396">
        <v>1255.4701560961253</v>
      </c>
      <c r="DE268" s="396">
        <v>4.9049330450629931</v>
      </c>
      <c r="DF268" s="396">
        <v>0.55730448366027874</v>
      </c>
      <c r="DG268" s="396">
        <v>16.928788924985568</v>
      </c>
      <c r="DH268" s="396">
        <v>2.0389334752046002</v>
      </c>
      <c r="DI268" s="396">
        <v>1970.5250424814953</v>
      </c>
      <c r="DJ268" s="396">
        <v>21.175023760836382</v>
      </c>
      <c r="DK268" s="396">
        <v>0.33492295728809657</v>
      </c>
      <c r="DL268" s="396">
        <v>15.662048904121425</v>
      </c>
      <c r="DM268" s="396">
        <v>3.8629359753463319</v>
      </c>
      <c r="DN268" s="396">
        <v>0</v>
      </c>
      <c r="DO268" s="396">
        <v>0</v>
      </c>
      <c r="DP268" s="396">
        <v>0</v>
      </c>
      <c r="DQ268" s="396">
        <v>0</v>
      </c>
      <c r="DR268" s="396">
        <v>0</v>
      </c>
      <c r="DS268" s="396">
        <v>1176.6800939390641</v>
      </c>
      <c r="DT268" s="396">
        <v>29.862513025491083</v>
      </c>
      <c r="DU268" s="396">
        <v>0.15389987091155108</v>
      </c>
      <c r="DV268" s="396">
        <v>4.3436552249716165</v>
      </c>
      <c r="DW268" s="396">
        <v>1.9470504067063783</v>
      </c>
      <c r="DX268" s="396">
        <v>1848.5872138910813</v>
      </c>
      <c r="DY268" s="396">
        <v>6.7609050249934235</v>
      </c>
      <c r="DZ268" s="396">
        <v>0.91350171007629577</v>
      </c>
      <c r="EA268" s="396">
        <v>26.532754538279399</v>
      </c>
      <c r="EB268" s="396">
        <v>1.5540489344909236</v>
      </c>
      <c r="EC268" s="396">
        <v>1884.3662864129581</v>
      </c>
      <c r="ED268" s="396">
        <v>3.4668162394024624</v>
      </c>
      <c r="EE268" s="396">
        <v>1.2649535746135252E-2</v>
      </c>
      <c r="EF268" s="396">
        <v>9.3779684202455833</v>
      </c>
      <c r="EG268" s="396">
        <v>0.40107498678460318</v>
      </c>
      <c r="EH268" s="396">
        <v>0</v>
      </c>
      <c r="EI268" s="396">
        <v>0</v>
      </c>
      <c r="EJ268" s="396">
        <v>0</v>
      </c>
      <c r="EK268" s="396">
        <v>0</v>
      </c>
      <c r="EL268" s="396">
        <v>0</v>
      </c>
      <c r="EM268" s="396">
        <v>990.28311013489258</v>
      </c>
      <c r="EN268" s="396">
        <v>34.109203969504662</v>
      </c>
      <c r="EO268" s="396">
        <v>8.05396007374371E-2</v>
      </c>
      <c r="EP268" s="396">
        <v>4.6877452799766361</v>
      </c>
      <c r="EQ268" s="396">
        <v>3.2989510383138732</v>
      </c>
      <c r="ER268" s="396">
        <v>1265.2584878261721</v>
      </c>
      <c r="ES268" s="396">
        <v>6.1275378845245845</v>
      </c>
      <c r="ET268" s="396">
        <v>0.66248964356029894</v>
      </c>
      <c r="EU268" s="396">
        <v>15.478445242273875</v>
      </c>
      <c r="EV268" s="396">
        <v>1.8744309526142775</v>
      </c>
      <c r="EW268" s="396">
        <v>2399.2519839907095</v>
      </c>
      <c r="EX268" s="396">
        <v>25.753666714536362</v>
      </c>
      <c r="EY268" s="396">
        <v>0.38197144052398591</v>
      </c>
      <c r="EZ268" s="396">
        <v>18.146568679483256</v>
      </c>
      <c r="FA268" s="396">
        <v>4.7459680188814728</v>
      </c>
      <c r="FB268" s="396">
        <v>0</v>
      </c>
      <c r="FC268" s="396">
        <v>0</v>
      </c>
      <c r="FD268" s="396">
        <v>0</v>
      </c>
      <c r="FE268" s="396">
        <v>0</v>
      </c>
      <c r="FF268" s="396">
        <v>0</v>
      </c>
      <c r="FG268" s="396">
        <v>840.49607318250764</v>
      </c>
      <c r="FH268" s="396">
        <v>17.636252996180318</v>
      </c>
      <c r="FI268" s="396">
        <v>5.2895902910901668E-2</v>
      </c>
      <c r="FJ268" s="396">
        <v>3.7070928408788983</v>
      </c>
      <c r="FK268" s="396">
        <v>2.2360290147387789</v>
      </c>
      <c r="FL268" s="396">
        <v>1164.6588791112636</v>
      </c>
      <c r="FM268" s="396">
        <v>5.2382822078024063</v>
      </c>
      <c r="FN268" s="396">
        <v>0.61018418652952711</v>
      </c>
      <c r="FO268" s="396">
        <v>14.263983063749725</v>
      </c>
      <c r="FP268" s="396">
        <v>1.6525023758507791</v>
      </c>
      <c r="FQ268" s="396">
        <v>2107.4862641832638</v>
      </c>
      <c r="FR268" s="396">
        <v>22.52634894766917</v>
      </c>
      <c r="FS268" s="396">
        <v>0.38329469558618512</v>
      </c>
      <c r="FT268" s="396">
        <v>16.970713845937567</v>
      </c>
      <c r="FU268" s="396">
        <v>4.1680865659091406</v>
      </c>
      <c r="FV268" s="396">
        <v>0</v>
      </c>
      <c r="FW268" s="396">
        <v>0</v>
      </c>
      <c r="FX268" s="396">
        <v>0</v>
      </c>
      <c r="FY268" s="396">
        <v>0</v>
      </c>
      <c r="FZ268" s="396">
        <v>0</v>
      </c>
      <c r="GA268" s="396">
        <v>1864.2599875802111</v>
      </c>
      <c r="GB268" s="396">
        <v>6.3327344235148004</v>
      </c>
      <c r="GC268" s="396">
        <v>0.80335168702132065</v>
      </c>
      <c r="GD268" s="396">
        <v>26.986462430138687</v>
      </c>
      <c r="GE268" s="396">
        <v>1.3543282964189609</v>
      </c>
      <c r="GF268" s="396">
        <v>2371.257795015968</v>
      </c>
      <c r="GG268" s="396">
        <v>44.788987026226295</v>
      </c>
      <c r="GH268" s="396">
        <v>8.5562993286131834E-3</v>
      </c>
      <c r="GI268" s="396">
        <v>1.0384215640206751</v>
      </c>
      <c r="GJ268" s="396">
        <v>0.98070857989343818</v>
      </c>
      <c r="GK268" s="396">
        <v>0</v>
      </c>
      <c r="GL268" s="396">
        <v>0</v>
      </c>
      <c r="GM268" s="396">
        <v>0</v>
      </c>
      <c r="GN268" s="396">
        <v>0</v>
      </c>
      <c r="GO268" s="396">
        <v>0</v>
      </c>
      <c r="GP268" s="396">
        <v>1496.15002441406</v>
      </c>
      <c r="GQ268" s="396">
        <v>34.900799999999997</v>
      </c>
      <c r="GR268" s="396">
        <v>1.21E-2</v>
      </c>
      <c r="GS268" s="396">
        <v>4.2723000000000004</v>
      </c>
      <c r="GT268" s="396">
        <v>1.6836</v>
      </c>
      <c r="GU268" s="396">
        <v>1894.0703055171086</v>
      </c>
      <c r="GV268" s="396">
        <v>6.2097549753542234</v>
      </c>
      <c r="GW268" s="396">
        <v>0.74648227276670043</v>
      </c>
      <c r="GX268" s="396">
        <v>27.628159920349077</v>
      </c>
      <c r="GY268" s="396">
        <v>1.6836</v>
      </c>
      <c r="GZ268" s="396">
        <v>0</v>
      </c>
      <c r="HA268" s="396">
        <v>0</v>
      </c>
      <c r="HB268" s="396">
        <v>0</v>
      </c>
      <c r="HC268" s="396">
        <v>0</v>
      </c>
      <c r="HD268" s="487">
        <v>0</v>
      </c>
    </row>
    <row r="269" spans="2:212" x14ac:dyDescent="0.35">
      <c r="B269" s="396">
        <v>1999</v>
      </c>
      <c r="C269" s="396">
        <v>395.43338341401892</v>
      </c>
      <c r="D269" s="396">
        <v>11.780596010744583</v>
      </c>
      <c r="E269" s="396">
        <v>1.7110563652214091E-2</v>
      </c>
      <c r="F269" s="396">
        <v>1.3097515694477466</v>
      </c>
      <c r="G269" s="396">
        <v>0.99929347450353523</v>
      </c>
      <c r="H269" s="396">
        <v>433.94592367697499</v>
      </c>
      <c r="I269" s="396">
        <v>10.73573533231235</v>
      </c>
      <c r="J269" s="396">
        <v>1.5473638016425302E-2</v>
      </c>
      <c r="K269" s="396">
        <v>1.2394744619683493</v>
      </c>
      <c r="L269" s="396">
        <v>0.46966065719121952</v>
      </c>
      <c r="M269" s="396">
        <v>391.64350822587818</v>
      </c>
      <c r="N269" s="396">
        <v>11.635726989773232</v>
      </c>
      <c r="O269" s="396">
        <v>1.7111605157847931E-2</v>
      </c>
      <c r="P269" s="396">
        <v>1.3196920853712761</v>
      </c>
      <c r="Q269" s="396">
        <v>1.1344486438417076</v>
      </c>
      <c r="R269" s="396">
        <v>0</v>
      </c>
      <c r="S269" s="396">
        <v>0</v>
      </c>
      <c r="T269" s="396">
        <v>0</v>
      </c>
      <c r="U269" s="396">
        <v>0</v>
      </c>
      <c r="V269" s="396">
        <v>0</v>
      </c>
      <c r="W269" s="396">
        <v>562.08522888223342</v>
      </c>
      <c r="X269" s="396">
        <v>13.573986330257682</v>
      </c>
      <c r="Y269" s="396">
        <v>2.1512654075137583E-2</v>
      </c>
      <c r="Z269" s="396">
        <v>2.1744356933774625</v>
      </c>
      <c r="AA269" s="396">
        <v>1.1360521900399245</v>
      </c>
      <c r="AB269" s="396">
        <v>666.68443102248671</v>
      </c>
      <c r="AC269" s="396">
        <v>5.2136903968853163</v>
      </c>
      <c r="AD269" s="396">
        <v>0.41358085002442602</v>
      </c>
      <c r="AE269" s="396">
        <v>6.29787863984249</v>
      </c>
      <c r="AF269" s="396">
        <v>1.4149161374368995</v>
      </c>
      <c r="AG269" s="396">
        <v>551.52797481454377</v>
      </c>
      <c r="AH269" s="396">
        <v>12.486334638573096</v>
      </c>
      <c r="AI269" s="396">
        <v>1.8884486920525353E-2</v>
      </c>
      <c r="AJ269" s="396">
        <v>2.0842858257613646</v>
      </c>
      <c r="AK269" s="396">
        <v>1.2520784269579555</v>
      </c>
      <c r="AL269" s="396">
        <v>0</v>
      </c>
      <c r="AM269" s="396">
        <v>0</v>
      </c>
      <c r="AN269" s="396">
        <v>0</v>
      </c>
      <c r="AO269" s="396">
        <v>0</v>
      </c>
      <c r="AP269" s="396">
        <v>0</v>
      </c>
      <c r="AQ269" s="396">
        <v>568.65554746402495</v>
      </c>
      <c r="AR269" s="396">
        <v>16.337984763931228</v>
      </c>
      <c r="AS269" s="396">
        <v>2.964123984932741E-2</v>
      </c>
      <c r="AT269" s="396">
        <v>2.5279664892854834</v>
      </c>
      <c r="AU269" s="396">
        <v>1.2419712277382033</v>
      </c>
      <c r="AV269" s="396">
        <v>672.37378645999581</v>
      </c>
      <c r="AW269" s="396">
        <v>5.2749853855174962</v>
      </c>
      <c r="AX269" s="396">
        <v>0.41444161917707018</v>
      </c>
      <c r="AY269" s="396">
        <v>6.2731097108304974</v>
      </c>
      <c r="AZ269" s="396">
        <v>1.4121427521132721</v>
      </c>
      <c r="BA269" s="396">
        <v>536.23914539011685</v>
      </c>
      <c r="BB269" s="396">
        <v>11.584870393686478</v>
      </c>
      <c r="BC269" s="396">
        <v>1.6397736270297631E-2</v>
      </c>
      <c r="BD269" s="396">
        <v>1.9771576173725678</v>
      </c>
      <c r="BE269" s="396">
        <v>1.1913189081138613</v>
      </c>
      <c r="BF269" s="396">
        <v>0</v>
      </c>
      <c r="BG269" s="396">
        <v>0</v>
      </c>
      <c r="BH269" s="396">
        <v>0</v>
      </c>
      <c r="BI269" s="396">
        <v>0</v>
      </c>
      <c r="BJ269" s="396">
        <v>0</v>
      </c>
      <c r="BK269" s="396">
        <v>1122.6678648875691</v>
      </c>
      <c r="BL269" s="396">
        <v>36.249926739211134</v>
      </c>
      <c r="BM269" s="396">
        <v>0.28251509172250761</v>
      </c>
      <c r="BN269" s="396">
        <v>4.3832711430636691</v>
      </c>
      <c r="BO269" s="396">
        <v>1.7317580635708285</v>
      </c>
      <c r="BP269" s="396">
        <v>1776.9068589111437</v>
      </c>
      <c r="BQ269" s="396">
        <v>6.8107423402591216</v>
      </c>
      <c r="BR269" s="396">
        <v>0.87115482708198733</v>
      </c>
      <c r="BS269" s="396">
        <v>20.064780494440097</v>
      </c>
      <c r="BT269" s="396">
        <v>1.4119733396810283</v>
      </c>
      <c r="BU269" s="396">
        <v>2443.328203325746</v>
      </c>
      <c r="BV269" s="396">
        <v>29.184908905397425</v>
      </c>
      <c r="BW269" s="396">
        <v>0.34695970270980425</v>
      </c>
      <c r="BX269" s="396">
        <v>19.557443004023245</v>
      </c>
      <c r="BY269" s="396">
        <v>4.942654250000853</v>
      </c>
      <c r="BZ269" s="396">
        <v>0</v>
      </c>
      <c r="CA269" s="396">
        <v>0</v>
      </c>
      <c r="CB269" s="396">
        <v>0</v>
      </c>
      <c r="CC269" s="396">
        <v>0</v>
      </c>
      <c r="CD269" s="396">
        <v>0</v>
      </c>
      <c r="CE269" s="396">
        <v>1076.1492322646416</v>
      </c>
      <c r="CF269" s="396">
        <v>33.722113781304088</v>
      </c>
      <c r="CG269" s="396">
        <v>0.23559004591397256</v>
      </c>
      <c r="CH269" s="396">
        <v>4.2323594724239575</v>
      </c>
      <c r="CI269" s="396">
        <v>1.6177365438869615</v>
      </c>
      <c r="CJ269" s="396">
        <v>1681.9284135348792</v>
      </c>
      <c r="CK269" s="396">
        <v>9.745261568046482</v>
      </c>
      <c r="CL269" s="396">
        <v>0.42973062569723275</v>
      </c>
      <c r="CM269" s="396">
        <v>19.369969779127651</v>
      </c>
      <c r="CN269" s="396">
        <v>1.9592946720753361</v>
      </c>
      <c r="CO269" s="396">
        <v>2310.5358402431634</v>
      </c>
      <c r="CP269" s="396">
        <v>28.039163449287805</v>
      </c>
      <c r="CQ269" s="396">
        <v>0.3657127949302299</v>
      </c>
      <c r="CR269" s="396">
        <v>18.772974293637525</v>
      </c>
      <c r="CS269" s="396">
        <v>4.5680384180572595</v>
      </c>
      <c r="CT269" s="396">
        <v>0</v>
      </c>
      <c r="CU269" s="396">
        <v>0</v>
      </c>
      <c r="CV269" s="396">
        <v>0</v>
      </c>
      <c r="CW269" s="396">
        <v>0</v>
      </c>
      <c r="CX269" s="396">
        <v>0</v>
      </c>
      <c r="CY269" s="396">
        <v>1244.1169468762212</v>
      </c>
      <c r="CZ269" s="396">
        <v>36.040758025611886</v>
      </c>
      <c r="DA269" s="396">
        <v>2.7133013821076132E-2</v>
      </c>
      <c r="DB269" s="396">
        <v>4.6905866658282092</v>
      </c>
      <c r="DC269" s="396">
        <v>2.1493143362784162</v>
      </c>
      <c r="DD269" s="396">
        <v>1255.0634289758807</v>
      </c>
      <c r="DE269" s="396">
        <v>4.9049472786337818</v>
      </c>
      <c r="DF269" s="396">
        <v>0.55730839730676396</v>
      </c>
      <c r="DG269" s="396">
        <v>9.6402969093119921</v>
      </c>
      <c r="DH269" s="396">
        <v>2.0389330502168748</v>
      </c>
      <c r="DI269" s="396">
        <v>1970.5250424814953</v>
      </c>
      <c r="DJ269" s="396">
        <v>21.175023760836382</v>
      </c>
      <c r="DK269" s="396">
        <v>0.33492295728809657</v>
      </c>
      <c r="DL269" s="396">
        <v>15.662048904121425</v>
      </c>
      <c r="DM269" s="396">
        <v>3.8629359753463319</v>
      </c>
      <c r="DN269" s="396">
        <v>0</v>
      </c>
      <c r="DO269" s="396">
        <v>0</v>
      </c>
      <c r="DP269" s="396">
        <v>0</v>
      </c>
      <c r="DQ269" s="396">
        <v>0</v>
      </c>
      <c r="DR269" s="396">
        <v>0</v>
      </c>
      <c r="DS269" s="396">
        <v>1167.956937529741</v>
      </c>
      <c r="DT269" s="396">
        <v>29.86773231271458</v>
      </c>
      <c r="DU269" s="396">
        <v>0.23265502438125843</v>
      </c>
      <c r="DV269" s="396">
        <v>4.3436401500227699</v>
      </c>
      <c r="DW269" s="396">
        <v>1.8353433587294112</v>
      </c>
      <c r="DX269" s="396">
        <v>1846.6244918656946</v>
      </c>
      <c r="DY269" s="396">
        <v>6.7352630660138164</v>
      </c>
      <c r="DZ269" s="396">
        <v>0.90992202372540376</v>
      </c>
      <c r="EA269" s="396">
        <v>20.707584813746436</v>
      </c>
      <c r="EB269" s="396">
        <v>1.5693327957570267</v>
      </c>
      <c r="EC269" s="396">
        <v>1884.3662864129581</v>
      </c>
      <c r="ED269" s="396">
        <v>3.4668162394024624</v>
      </c>
      <c r="EE269" s="396">
        <v>1.2649535746135252E-2</v>
      </c>
      <c r="EF269" s="396">
        <v>9.3779684202455833</v>
      </c>
      <c r="EG269" s="396">
        <v>0.40107498678460318</v>
      </c>
      <c r="EH269" s="396">
        <v>0</v>
      </c>
      <c r="EI269" s="396">
        <v>0</v>
      </c>
      <c r="EJ269" s="396">
        <v>0</v>
      </c>
      <c r="EK269" s="396">
        <v>0</v>
      </c>
      <c r="EL269" s="396">
        <v>0</v>
      </c>
      <c r="EM269" s="396">
        <v>940.69797612869741</v>
      </c>
      <c r="EN269" s="396">
        <v>35.077451997924236</v>
      </c>
      <c r="EO269" s="396">
        <v>0.10360923715620134</v>
      </c>
      <c r="EP269" s="396">
        <v>4.6318759730150489</v>
      </c>
      <c r="EQ269" s="396">
        <v>3.0682537623248578</v>
      </c>
      <c r="ER269" s="396">
        <v>1159.8974398685302</v>
      </c>
      <c r="ES269" s="396">
        <v>6.0559090381115857</v>
      </c>
      <c r="ET269" s="396">
        <v>0.63498229719207222</v>
      </c>
      <c r="EU269" s="396">
        <v>11.212481017341439</v>
      </c>
      <c r="EV269" s="396">
        <v>1.8029245124737039</v>
      </c>
      <c r="EW269" s="396">
        <v>2399.2519839907095</v>
      </c>
      <c r="EX269" s="396">
        <v>25.753666714536362</v>
      </c>
      <c r="EY269" s="396">
        <v>0.38197144052398591</v>
      </c>
      <c r="EZ269" s="396">
        <v>18.146568679483256</v>
      </c>
      <c r="FA269" s="396">
        <v>4.7459680188814728</v>
      </c>
      <c r="FB269" s="396">
        <v>0</v>
      </c>
      <c r="FC269" s="396">
        <v>0</v>
      </c>
      <c r="FD269" s="396">
        <v>0</v>
      </c>
      <c r="FE269" s="396">
        <v>0</v>
      </c>
      <c r="FF269" s="396">
        <v>0</v>
      </c>
      <c r="FG269" s="396">
        <v>778.58712023100315</v>
      </c>
      <c r="FH269" s="396">
        <v>16.824282192227624</v>
      </c>
      <c r="FI269" s="396">
        <v>6.341046229410692E-2</v>
      </c>
      <c r="FJ269" s="396">
        <v>3.602939342485203</v>
      </c>
      <c r="FK269" s="396">
        <v>2.0942047754722228</v>
      </c>
      <c r="FL269" s="396">
        <v>1022.7643062900382</v>
      </c>
      <c r="FM269" s="396">
        <v>5.2226772432176789</v>
      </c>
      <c r="FN269" s="396">
        <v>0.56527795691990201</v>
      </c>
      <c r="FO269" s="396">
        <v>9.3759189990971237</v>
      </c>
      <c r="FP269" s="396">
        <v>1.6179220946730297</v>
      </c>
      <c r="FQ269" s="396">
        <v>2107.4862641832638</v>
      </c>
      <c r="FR269" s="396">
        <v>22.52634894766917</v>
      </c>
      <c r="FS269" s="396">
        <v>0.38329469558618512</v>
      </c>
      <c r="FT269" s="396">
        <v>16.970713845937567</v>
      </c>
      <c r="FU269" s="396">
        <v>4.1680865659091406</v>
      </c>
      <c r="FV269" s="396">
        <v>0</v>
      </c>
      <c r="FW269" s="396">
        <v>0</v>
      </c>
      <c r="FX269" s="396">
        <v>0</v>
      </c>
      <c r="FY269" s="396">
        <v>0</v>
      </c>
      <c r="FZ269" s="396">
        <v>0</v>
      </c>
      <c r="GA269" s="396">
        <v>1862.4204976748404</v>
      </c>
      <c r="GB269" s="396">
        <v>6.3101983186310697</v>
      </c>
      <c r="GC269" s="396">
        <v>0.80048964364823383</v>
      </c>
      <c r="GD269" s="396">
        <v>20.294563401080328</v>
      </c>
      <c r="GE269" s="396">
        <v>1.3639490148836122</v>
      </c>
      <c r="GF269" s="396">
        <v>2371.257795015968</v>
      </c>
      <c r="GG269" s="396">
        <v>44.788987026226295</v>
      </c>
      <c r="GH269" s="396">
        <v>8.5562993286131834E-3</v>
      </c>
      <c r="GI269" s="396">
        <v>1.0384215640206751</v>
      </c>
      <c r="GJ269" s="396">
        <v>0.98070857989343818</v>
      </c>
      <c r="GK269" s="396">
        <v>0</v>
      </c>
      <c r="GL269" s="396">
        <v>0</v>
      </c>
      <c r="GM269" s="396">
        <v>0</v>
      </c>
      <c r="GN269" s="396">
        <v>0</v>
      </c>
      <c r="GO269" s="396">
        <v>0</v>
      </c>
      <c r="GP269" s="396">
        <v>1496.16003417968</v>
      </c>
      <c r="GQ269" s="396">
        <v>32.284700000000001</v>
      </c>
      <c r="GR269" s="396">
        <v>8.8999999999999999E-3</v>
      </c>
      <c r="GS269" s="396">
        <v>4.1601999999999997</v>
      </c>
      <c r="GT269" s="396">
        <v>1.5908</v>
      </c>
      <c r="GU269" s="396">
        <v>1896.8187733393686</v>
      </c>
      <c r="GV269" s="396">
        <v>6.2718777111387727</v>
      </c>
      <c r="GW269" s="396">
        <v>0.75411385839840073</v>
      </c>
      <c r="GX269" s="396">
        <v>21.171754177511222</v>
      </c>
      <c r="GY269" s="396">
        <v>1.5908</v>
      </c>
      <c r="GZ269" s="396">
        <v>0</v>
      </c>
      <c r="HA269" s="396">
        <v>0</v>
      </c>
      <c r="HB269" s="396">
        <v>0</v>
      </c>
      <c r="HC269" s="396">
        <v>0</v>
      </c>
      <c r="HD269" s="487">
        <v>0</v>
      </c>
    </row>
    <row r="270" spans="2:212" x14ac:dyDescent="0.35">
      <c r="B270" s="396">
        <v>2000</v>
      </c>
      <c r="C270" s="396">
        <v>394.53763723429103</v>
      </c>
      <c r="D270" s="396">
        <v>10.560276025850658</v>
      </c>
      <c r="E270" s="396">
        <v>1.5274979560850267E-2</v>
      </c>
      <c r="F270" s="396">
        <v>0.99467487152534462</v>
      </c>
      <c r="G270" s="396">
        <v>0.93280507864206197</v>
      </c>
      <c r="H270" s="396">
        <v>434.09380701100497</v>
      </c>
      <c r="I270" s="396">
        <v>9.525001471251743</v>
      </c>
      <c r="J270" s="396">
        <v>1.3625321223296781E-2</v>
      </c>
      <c r="K270" s="396">
        <v>0.93979245542107226</v>
      </c>
      <c r="L270" s="396">
        <v>0.40041979716342668</v>
      </c>
      <c r="M270" s="396">
        <v>389.69110856073672</v>
      </c>
      <c r="N270" s="396">
        <v>10.42061234369136</v>
      </c>
      <c r="O270" s="396">
        <v>1.5276011552833547E-2</v>
      </c>
      <c r="P270" s="396">
        <v>1.0023660464180233</v>
      </c>
      <c r="Q270" s="396">
        <v>1.1007337463489457</v>
      </c>
      <c r="R270" s="396">
        <v>0</v>
      </c>
      <c r="S270" s="396">
        <v>0</v>
      </c>
      <c r="T270" s="396">
        <v>0</v>
      </c>
      <c r="U270" s="396">
        <v>0</v>
      </c>
      <c r="V270" s="396">
        <v>0</v>
      </c>
      <c r="W270" s="396">
        <v>563.18455640744799</v>
      </c>
      <c r="X270" s="396">
        <v>12.735878579252072</v>
      </c>
      <c r="Y270" s="396">
        <v>2.1689778594899074E-2</v>
      </c>
      <c r="Z270" s="396">
        <v>1.9749843529964011</v>
      </c>
      <c r="AA270" s="396">
        <v>1.0799659677671727</v>
      </c>
      <c r="AB270" s="396">
        <v>673.36204450763319</v>
      </c>
      <c r="AC270" s="396">
        <v>5.2017379717499894</v>
      </c>
      <c r="AD270" s="396">
        <v>0.41425379105448218</v>
      </c>
      <c r="AE270" s="396">
        <v>6.3052799020717307</v>
      </c>
      <c r="AF270" s="396">
        <v>1.4165043560865671</v>
      </c>
      <c r="AG270" s="396">
        <v>551.94560188982575</v>
      </c>
      <c r="AH270" s="396">
        <v>11.540814987368352</v>
      </c>
      <c r="AI270" s="396">
        <v>1.943420059713245E-2</v>
      </c>
      <c r="AJ270" s="396">
        <v>1.8636930345483775</v>
      </c>
      <c r="AK270" s="396">
        <v>1.2228419567571114</v>
      </c>
      <c r="AL270" s="396">
        <v>0</v>
      </c>
      <c r="AM270" s="396">
        <v>0</v>
      </c>
      <c r="AN270" s="396">
        <v>0</v>
      </c>
      <c r="AO270" s="396">
        <v>0</v>
      </c>
      <c r="AP270" s="396">
        <v>0</v>
      </c>
      <c r="AQ270" s="396">
        <v>567.83720084151912</v>
      </c>
      <c r="AR270" s="396">
        <v>15.771429475315964</v>
      </c>
      <c r="AS270" s="396">
        <v>2.8049795156519401E-2</v>
      </c>
      <c r="AT270" s="396">
        <v>2.3880162609342128</v>
      </c>
      <c r="AU270" s="396">
        <v>1.19984340150904</v>
      </c>
      <c r="AV270" s="396">
        <v>678.8836475911512</v>
      </c>
      <c r="AW270" s="396">
        <v>5.2793050051773793</v>
      </c>
      <c r="AX270" s="396">
        <v>0.41323787088049402</v>
      </c>
      <c r="AY270" s="396">
        <v>6.257197877745944</v>
      </c>
      <c r="AZ270" s="396">
        <v>1.4087809864746854</v>
      </c>
      <c r="BA270" s="396">
        <v>536.64928746357975</v>
      </c>
      <c r="BB270" s="396">
        <v>10.704634799522957</v>
      </c>
      <c r="BC270" s="396">
        <v>1.7019731148581553E-2</v>
      </c>
      <c r="BD270" s="396">
        <v>1.7668711054252886</v>
      </c>
      <c r="BE270" s="396">
        <v>1.1635046550852575</v>
      </c>
      <c r="BF270" s="396">
        <v>0</v>
      </c>
      <c r="BG270" s="396">
        <v>0</v>
      </c>
      <c r="BH270" s="396">
        <v>0</v>
      </c>
      <c r="BI270" s="396">
        <v>0</v>
      </c>
      <c r="BJ270" s="396">
        <v>0</v>
      </c>
      <c r="BK270" s="396">
        <v>1117.1752144346167</v>
      </c>
      <c r="BL270" s="396">
        <v>36.256217123050789</v>
      </c>
      <c r="BM270" s="396">
        <v>0.24886071160383147</v>
      </c>
      <c r="BN270" s="396">
        <v>4.3832556610929903</v>
      </c>
      <c r="BO270" s="396">
        <v>1.7210620747373186</v>
      </c>
      <c r="BP270" s="396">
        <v>1737.4781578014836</v>
      </c>
      <c r="BQ270" s="396">
        <v>6.7734185026332829</v>
      </c>
      <c r="BR270" s="396">
        <v>0.85863973508315306</v>
      </c>
      <c r="BS270" s="396">
        <v>19.56419467966812</v>
      </c>
      <c r="BT270" s="396">
        <v>1.4262741791610152</v>
      </c>
      <c r="BU270" s="396">
        <v>2443.3223535567345</v>
      </c>
      <c r="BV270" s="396">
        <v>29.185048873879232</v>
      </c>
      <c r="BW270" s="396">
        <v>0.34695846314838158</v>
      </c>
      <c r="BX270" s="396">
        <v>19.557429780959403</v>
      </c>
      <c r="BY270" s="396">
        <v>4.9426385949057012</v>
      </c>
      <c r="BZ270" s="396">
        <v>0</v>
      </c>
      <c r="CA270" s="396">
        <v>0</v>
      </c>
      <c r="CB270" s="396">
        <v>0</v>
      </c>
      <c r="CC270" s="396">
        <v>0</v>
      </c>
      <c r="CD270" s="396">
        <v>0</v>
      </c>
      <c r="CE270" s="396">
        <v>1071.188752800334</v>
      </c>
      <c r="CF270" s="396">
        <v>33.728016275746903</v>
      </c>
      <c r="CG270" s="396">
        <v>0.22011242495692923</v>
      </c>
      <c r="CH270" s="396">
        <v>4.2323527509422645</v>
      </c>
      <c r="CI270" s="396">
        <v>1.6051367386178548</v>
      </c>
      <c r="CJ270" s="396">
        <v>1645.8630041691933</v>
      </c>
      <c r="CK270" s="396">
        <v>9.453163557398085</v>
      </c>
      <c r="CL270" s="396">
        <v>0.4442103679888697</v>
      </c>
      <c r="CM270" s="396">
        <v>18.8704165902863</v>
      </c>
      <c r="CN270" s="396">
        <v>1.9236572331034874</v>
      </c>
      <c r="CO270" s="396">
        <v>2310.5416754338621</v>
      </c>
      <c r="CP270" s="396">
        <v>28.039136759095776</v>
      </c>
      <c r="CQ270" s="396">
        <v>0.3657123384167818</v>
      </c>
      <c r="CR270" s="396">
        <v>18.773065346860736</v>
      </c>
      <c r="CS270" s="396">
        <v>4.568031909540843</v>
      </c>
      <c r="CT270" s="396">
        <v>0</v>
      </c>
      <c r="CU270" s="396">
        <v>0</v>
      </c>
      <c r="CV270" s="396">
        <v>0</v>
      </c>
      <c r="CW270" s="396">
        <v>0</v>
      </c>
      <c r="CX270" s="396">
        <v>0</v>
      </c>
      <c r="CY270" s="396">
        <v>1214.1165440227705</v>
      </c>
      <c r="CZ270" s="396">
        <v>35.99088073027454</v>
      </c>
      <c r="DA270" s="396">
        <v>3.3936143733861474E-2</v>
      </c>
      <c r="DB270" s="396">
        <v>4.6401537998738691</v>
      </c>
      <c r="DC270" s="396">
        <v>2.1140000335940945</v>
      </c>
      <c r="DD270" s="396">
        <v>1259.3212833621833</v>
      </c>
      <c r="DE270" s="396">
        <v>4.923030473813454</v>
      </c>
      <c r="DF270" s="396">
        <v>0.56044845215571026</v>
      </c>
      <c r="DG270" s="396">
        <v>9.7385370959301163</v>
      </c>
      <c r="DH270" s="396">
        <v>2.0274948673563866</v>
      </c>
      <c r="DI270" s="396">
        <v>1970.5250424814953</v>
      </c>
      <c r="DJ270" s="396">
        <v>21.175023760836382</v>
      </c>
      <c r="DK270" s="396">
        <v>0.33492295728809657</v>
      </c>
      <c r="DL270" s="396">
        <v>15.662048904121425</v>
      </c>
      <c r="DM270" s="396">
        <v>3.8629359753463319</v>
      </c>
      <c r="DN270" s="396">
        <v>0</v>
      </c>
      <c r="DO270" s="396">
        <v>0</v>
      </c>
      <c r="DP270" s="396">
        <v>0</v>
      </c>
      <c r="DQ270" s="396">
        <v>0</v>
      </c>
      <c r="DR270" s="396">
        <v>0</v>
      </c>
      <c r="DS270" s="396">
        <v>1583.0700339796022</v>
      </c>
      <c r="DT270" s="396">
        <v>25.348248360003794</v>
      </c>
      <c r="DU270" s="396">
        <v>1.932444561196121E-2</v>
      </c>
      <c r="DV270" s="396">
        <v>2.0532290351690099</v>
      </c>
      <c r="DW270" s="396">
        <v>1.1413522276463104</v>
      </c>
      <c r="DX270" s="396">
        <v>1832.5429763981977</v>
      </c>
      <c r="DY270" s="396">
        <v>6.5510804175357427</v>
      </c>
      <c r="DZ270" s="396">
        <v>0.88419514989949866</v>
      </c>
      <c r="EA270" s="396">
        <v>19.804419211947451</v>
      </c>
      <c r="EB270" s="396">
        <v>1.6906101808074661</v>
      </c>
      <c r="EC270" s="396">
        <v>1884.3662864129581</v>
      </c>
      <c r="ED270" s="396">
        <v>3.4668162394024624</v>
      </c>
      <c r="EE270" s="396">
        <v>1.2649535746135252E-2</v>
      </c>
      <c r="EF270" s="396">
        <v>9.3779684202455833</v>
      </c>
      <c r="EG270" s="396">
        <v>0.40107498678460318</v>
      </c>
      <c r="EH270" s="396">
        <v>0</v>
      </c>
      <c r="EI270" s="396">
        <v>0</v>
      </c>
      <c r="EJ270" s="396">
        <v>0</v>
      </c>
      <c r="EK270" s="396">
        <v>0</v>
      </c>
      <c r="EL270" s="396">
        <v>0</v>
      </c>
      <c r="EM270" s="396">
        <v>944.21466720438877</v>
      </c>
      <c r="EN270" s="396">
        <v>35.200750142352923</v>
      </c>
      <c r="EO270" s="396">
        <v>9.5121072535443135E-2</v>
      </c>
      <c r="EP270" s="396">
        <v>4.6758906689536541</v>
      </c>
      <c r="EQ270" s="396">
        <v>2.9407861884142235</v>
      </c>
      <c r="ER270" s="396">
        <v>1175.1178518956956</v>
      </c>
      <c r="ES270" s="396">
        <v>5.9872668875982846</v>
      </c>
      <c r="ET270" s="396">
        <v>0.62887694429338437</v>
      </c>
      <c r="EU270" s="396">
        <v>10.989084616008629</v>
      </c>
      <c r="EV270" s="396">
        <v>1.8774881096525886</v>
      </c>
      <c r="EW270" s="396">
        <v>2399.2519839907095</v>
      </c>
      <c r="EX270" s="396">
        <v>25.753666714536362</v>
      </c>
      <c r="EY270" s="396">
        <v>0.38197144052398591</v>
      </c>
      <c r="EZ270" s="396">
        <v>18.146568679483256</v>
      </c>
      <c r="FA270" s="396">
        <v>4.7459680188814728</v>
      </c>
      <c r="FB270" s="396">
        <v>0</v>
      </c>
      <c r="FC270" s="396">
        <v>0</v>
      </c>
      <c r="FD270" s="396">
        <v>0</v>
      </c>
      <c r="FE270" s="396">
        <v>0</v>
      </c>
      <c r="FF270" s="396">
        <v>0</v>
      </c>
      <c r="FG270" s="396">
        <v>818.84277175670456</v>
      </c>
      <c r="FH270" s="396">
        <v>18.32031877496949</v>
      </c>
      <c r="FI270" s="396">
        <v>7.0270478892632507E-2</v>
      </c>
      <c r="FJ270" s="396">
        <v>3.6882556041182051</v>
      </c>
      <c r="FK270" s="396">
        <v>2.0950900727048931</v>
      </c>
      <c r="FL270" s="396">
        <v>1081.3947661818684</v>
      </c>
      <c r="FM270" s="396">
        <v>5.2434201460658683</v>
      </c>
      <c r="FN270" s="396">
        <v>0.58467936913575613</v>
      </c>
      <c r="FO270" s="396">
        <v>10.007140441204104</v>
      </c>
      <c r="FP270" s="396">
        <v>1.6228907512495772</v>
      </c>
      <c r="FQ270" s="396">
        <v>2107.4862641832638</v>
      </c>
      <c r="FR270" s="396">
        <v>22.52634894766917</v>
      </c>
      <c r="FS270" s="396">
        <v>0.38329469558618512</v>
      </c>
      <c r="FT270" s="396">
        <v>16.970713845937567</v>
      </c>
      <c r="FU270" s="396">
        <v>4.1680865659091406</v>
      </c>
      <c r="FV270" s="396">
        <v>0</v>
      </c>
      <c r="FW270" s="396">
        <v>0</v>
      </c>
      <c r="FX270" s="396">
        <v>0</v>
      </c>
      <c r="FY270" s="396">
        <v>0</v>
      </c>
      <c r="FZ270" s="396">
        <v>0</v>
      </c>
      <c r="GA270" s="396">
        <v>1848.8262766072228</v>
      </c>
      <c r="GB270" s="396">
        <v>6.1436417536234114</v>
      </c>
      <c r="GC270" s="396">
        <v>0.77934308481943315</v>
      </c>
      <c r="GD270" s="396">
        <v>19.605573452118559</v>
      </c>
      <c r="GE270" s="396">
        <v>1.4351176806054347</v>
      </c>
      <c r="GF270" s="396">
        <v>2371.257795015968</v>
      </c>
      <c r="GG270" s="396">
        <v>44.788987026226295</v>
      </c>
      <c r="GH270" s="396">
        <v>8.5562993286131834E-3</v>
      </c>
      <c r="GI270" s="396">
        <v>1.0384215640206751</v>
      </c>
      <c r="GJ270" s="396">
        <v>0.98070857989343818</v>
      </c>
      <c r="GK270" s="396">
        <v>0</v>
      </c>
      <c r="GL270" s="396">
        <v>0</v>
      </c>
      <c r="GM270" s="396">
        <v>0</v>
      </c>
      <c r="GN270" s="396">
        <v>0</v>
      </c>
      <c r="GO270" s="396">
        <v>0</v>
      </c>
      <c r="GP270" s="396">
        <v>1496.16003417968</v>
      </c>
      <c r="GQ270" s="396">
        <v>32.047199999999997</v>
      </c>
      <c r="GR270" s="396">
        <v>7.9000000000000008E-3</v>
      </c>
      <c r="GS270" s="396">
        <v>4.1086999999999998</v>
      </c>
      <c r="GT270" s="396">
        <v>1.5741000000000001</v>
      </c>
      <c r="GU270" s="396">
        <v>1899.5023606828026</v>
      </c>
      <c r="GV270" s="396">
        <v>6.3114121480367906</v>
      </c>
      <c r="GW270" s="396">
        <v>0.75896874905623024</v>
      </c>
      <c r="GX270" s="396">
        <v>21.317620055904726</v>
      </c>
      <c r="GY270" s="396">
        <v>1.5741000000000001</v>
      </c>
      <c r="GZ270" s="396">
        <v>0</v>
      </c>
      <c r="HA270" s="396">
        <v>0</v>
      </c>
      <c r="HB270" s="396">
        <v>0</v>
      </c>
      <c r="HC270" s="396">
        <v>0</v>
      </c>
      <c r="HD270" s="487">
        <v>0</v>
      </c>
    </row>
    <row r="271" spans="2:212" x14ac:dyDescent="0.35">
      <c r="B271" s="396">
        <v>2001</v>
      </c>
      <c r="C271" s="396">
        <v>399.66058273836222</v>
      </c>
      <c r="D271" s="396">
        <v>7.0841787237262395</v>
      </c>
      <c r="E271" s="396">
        <v>8.9655988714916531E-3</v>
      </c>
      <c r="F271" s="396">
        <v>0.31803505510125768</v>
      </c>
      <c r="G271" s="396">
        <v>0.44411883927944096</v>
      </c>
      <c r="H271" s="396">
        <v>434.26234669030958</v>
      </c>
      <c r="I271" s="396">
        <v>6.7284081491047161</v>
      </c>
      <c r="J271" s="396">
        <v>8.2621154006771655E-3</v>
      </c>
      <c r="K271" s="396">
        <v>0.50378415537523535</v>
      </c>
      <c r="L271" s="396">
        <v>0.28266162969244901</v>
      </c>
      <c r="M271" s="396">
        <v>392.61097325613451</v>
      </c>
      <c r="N271" s="396">
        <v>7.0522758894851911</v>
      </c>
      <c r="O271" s="396">
        <v>9.501157340617206E-3</v>
      </c>
      <c r="P271" s="396">
        <v>0.32458691595975919</v>
      </c>
      <c r="Q271" s="396">
        <v>0.5337392040317771</v>
      </c>
      <c r="R271" s="396">
        <v>0</v>
      </c>
      <c r="S271" s="396">
        <v>0</v>
      </c>
      <c r="T271" s="396">
        <v>0</v>
      </c>
      <c r="U271" s="396">
        <v>0</v>
      </c>
      <c r="V271" s="396">
        <v>0</v>
      </c>
      <c r="W271" s="396">
        <v>577.18689264769546</v>
      </c>
      <c r="X271" s="396">
        <v>10.211920867033871</v>
      </c>
      <c r="Y271" s="396">
        <v>1.0690249263751091E-2</v>
      </c>
      <c r="Z271" s="396">
        <v>0.70146740560313003</v>
      </c>
      <c r="AA271" s="396">
        <v>0.52555780933062879</v>
      </c>
      <c r="AB271" s="396">
        <v>839.26062025921101</v>
      </c>
      <c r="AC271" s="396">
        <v>5.1297938085073067</v>
      </c>
      <c r="AD271" s="396">
        <v>0.33223330181891703</v>
      </c>
      <c r="AE271" s="396">
        <v>6.3026652475269112</v>
      </c>
      <c r="AF271" s="396">
        <v>1.3701239368839575</v>
      </c>
      <c r="AG271" s="396">
        <v>563.59415510188194</v>
      </c>
      <c r="AH271" s="396">
        <v>9.0781735666233754</v>
      </c>
      <c r="AI271" s="396">
        <v>9.9257470291515271E-3</v>
      </c>
      <c r="AJ271" s="396">
        <v>0.61616345868538436</v>
      </c>
      <c r="AK271" s="396">
        <v>0.59143111474309396</v>
      </c>
      <c r="AL271" s="396">
        <v>0</v>
      </c>
      <c r="AM271" s="396">
        <v>0</v>
      </c>
      <c r="AN271" s="396">
        <v>0</v>
      </c>
      <c r="AO271" s="396">
        <v>0</v>
      </c>
      <c r="AP271" s="396">
        <v>0</v>
      </c>
      <c r="AQ271" s="396">
        <v>581.74427989381456</v>
      </c>
      <c r="AR271" s="396">
        <v>13.972603500895298</v>
      </c>
      <c r="AS271" s="396">
        <v>1.5558716606957061E-2</v>
      </c>
      <c r="AT271" s="396">
        <v>1.0876974132937338</v>
      </c>
      <c r="AU271" s="396">
        <v>0.64813654630747375</v>
      </c>
      <c r="AV271" s="396">
        <v>844.93769459225518</v>
      </c>
      <c r="AW271" s="396">
        <v>5.1870597675443442</v>
      </c>
      <c r="AX271" s="396">
        <v>0.33110935349078235</v>
      </c>
      <c r="AY271" s="396">
        <v>6.2393256862494599</v>
      </c>
      <c r="AZ271" s="396">
        <v>1.3600593699266059</v>
      </c>
      <c r="BA271" s="396">
        <v>548.75487406345587</v>
      </c>
      <c r="BB271" s="396">
        <v>8.2610718074439387</v>
      </c>
      <c r="BC271" s="396">
        <v>9.0397828001034727E-3</v>
      </c>
      <c r="BD271" s="396">
        <v>0.58013399372987184</v>
      </c>
      <c r="BE271" s="396">
        <v>0.56413591131637086</v>
      </c>
      <c r="BF271" s="396">
        <v>0</v>
      </c>
      <c r="BG271" s="396">
        <v>0</v>
      </c>
      <c r="BH271" s="396">
        <v>0</v>
      </c>
      <c r="BI271" s="396">
        <v>0</v>
      </c>
      <c r="BJ271" s="396">
        <v>0</v>
      </c>
      <c r="BK271" s="396">
        <v>1145.2515993763777</v>
      </c>
      <c r="BL271" s="396">
        <v>30.291113381001026</v>
      </c>
      <c r="BM271" s="396">
        <v>0.15146363098758131</v>
      </c>
      <c r="BN271" s="396">
        <v>1.8626686737272191</v>
      </c>
      <c r="BO271" s="396">
        <v>1.1239825815816353</v>
      </c>
      <c r="BP271" s="396">
        <v>1766.7145359470389</v>
      </c>
      <c r="BQ271" s="396">
        <v>6.7425491357770282</v>
      </c>
      <c r="BR271" s="396">
        <v>0.8542863398675975</v>
      </c>
      <c r="BS271" s="396">
        <v>19.422960511063597</v>
      </c>
      <c r="BT271" s="396">
        <v>1.4512795909430463</v>
      </c>
      <c r="BU271" s="396">
        <v>2443.3314371338588</v>
      </c>
      <c r="BV271" s="396">
        <v>29.185076197278882</v>
      </c>
      <c r="BW271" s="396">
        <v>0.26293300712999512</v>
      </c>
      <c r="BX271" s="396">
        <v>19.557372865528091</v>
      </c>
      <c r="BY271" s="396">
        <v>4.942650658751103</v>
      </c>
      <c r="BZ271" s="396">
        <v>0</v>
      </c>
      <c r="CA271" s="396">
        <v>0</v>
      </c>
      <c r="CB271" s="396">
        <v>0</v>
      </c>
      <c r="CC271" s="396">
        <v>0</v>
      </c>
      <c r="CD271" s="396">
        <v>0</v>
      </c>
      <c r="CE271" s="396">
        <v>1102.0064381396314</v>
      </c>
      <c r="CF271" s="396">
        <v>28.306815428459345</v>
      </c>
      <c r="CG271" s="396">
        <v>0.12221642764015644</v>
      </c>
      <c r="CH271" s="396">
        <v>1.7989315918819442</v>
      </c>
      <c r="CI271" s="396">
        <v>1.0573340563741045</v>
      </c>
      <c r="CJ271" s="396">
        <v>1672.5700164744649</v>
      </c>
      <c r="CK271" s="396">
        <v>9.3516911203741593</v>
      </c>
      <c r="CL271" s="396">
        <v>0.44812754994858645</v>
      </c>
      <c r="CM271" s="396">
        <v>18.723394845372223</v>
      </c>
      <c r="CN271" s="396">
        <v>1.9316917837754168</v>
      </c>
      <c r="CO271" s="396">
        <v>2310.5340716044675</v>
      </c>
      <c r="CP271" s="396">
        <v>28.039126411796673</v>
      </c>
      <c r="CQ271" s="396">
        <v>0.27712828195299155</v>
      </c>
      <c r="CR271" s="396">
        <v>18.77299141784286</v>
      </c>
      <c r="CS271" s="396">
        <v>4.5680281600501322</v>
      </c>
      <c r="CT271" s="396">
        <v>0</v>
      </c>
      <c r="CU271" s="396">
        <v>0</v>
      </c>
      <c r="CV271" s="396">
        <v>0</v>
      </c>
      <c r="CW271" s="396">
        <v>0</v>
      </c>
      <c r="CX271" s="396">
        <v>0</v>
      </c>
      <c r="CY271" s="396">
        <v>1186.6676435612314</v>
      </c>
      <c r="CZ271" s="396">
        <v>31.084972919355476</v>
      </c>
      <c r="DA271" s="396">
        <v>3.0130528143017369E-2</v>
      </c>
      <c r="DB271" s="396">
        <v>1.9772308420643283</v>
      </c>
      <c r="DC271" s="396">
        <v>1.3234573050109057</v>
      </c>
      <c r="DD271" s="396">
        <v>1268.5830584229009</v>
      </c>
      <c r="DE271" s="396">
        <v>4.9772866340321382</v>
      </c>
      <c r="DF271" s="396">
        <v>0.56869213578801758</v>
      </c>
      <c r="DG271" s="396">
        <v>10.013734436522293</v>
      </c>
      <c r="DH271" s="396">
        <v>1.9815466372246462</v>
      </c>
      <c r="DI271" s="396">
        <v>1970.5189983411012</v>
      </c>
      <c r="DJ271" s="396">
        <v>21.174974326566076</v>
      </c>
      <c r="DK271" s="396">
        <v>0.25417963504226243</v>
      </c>
      <c r="DL271" s="396">
        <v>15.661979619243226</v>
      </c>
      <c r="DM271" s="396">
        <v>3.8629275614187533</v>
      </c>
      <c r="DN271" s="396">
        <v>0</v>
      </c>
      <c r="DO271" s="396">
        <v>0</v>
      </c>
      <c r="DP271" s="396">
        <v>0</v>
      </c>
      <c r="DQ271" s="396">
        <v>0</v>
      </c>
      <c r="DR271" s="396">
        <v>0</v>
      </c>
      <c r="DS271" s="396">
        <v>1583.0700339796022</v>
      </c>
      <c r="DT271" s="396">
        <v>25.348248360003794</v>
      </c>
      <c r="DU271" s="396">
        <v>1.932444561196121E-2</v>
      </c>
      <c r="DV271" s="396">
        <v>2.0532290351690099</v>
      </c>
      <c r="DW271" s="396">
        <v>1.1413522276463104</v>
      </c>
      <c r="DX271" s="396">
        <v>1833.3189734752909</v>
      </c>
      <c r="DY271" s="396">
        <v>6.5598867622622921</v>
      </c>
      <c r="DZ271" s="396">
        <v>0.88542556465013245</v>
      </c>
      <c r="EA271" s="396">
        <v>19.847621392085664</v>
      </c>
      <c r="EB271" s="396">
        <v>1.6864176257000432</v>
      </c>
      <c r="EC271" s="396">
        <v>1884.3662864129581</v>
      </c>
      <c r="ED271" s="396">
        <v>3.4668162394024624</v>
      </c>
      <c r="EE271" s="396">
        <v>1.2649535746135252E-2</v>
      </c>
      <c r="EF271" s="396">
        <v>9.3779684202455833</v>
      </c>
      <c r="EG271" s="396">
        <v>0.40107498678460318</v>
      </c>
      <c r="EH271" s="396">
        <v>0</v>
      </c>
      <c r="EI271" s="396">
        <v>0</v>
      </c>
      <c r="EJ271" s="396">
        <v>0</v>
      </c>
      <c r="EK271" s="396">
        <v>0</v>
      </c>
      <c r="EL271" s="396">
        <v>0</v>
      </c>
      <c r="EM271" s="396">
        <v>912.26279391424623</v>
      </c>
      <c r="EN271" s="396">
        <v>28.734163208852006</v>
      </c>
      <c r="EO271" s="396">
        <v>4.4172982941447676E-2</v>
      </c>
      <c r="EP271" s="396">
        <v>2.3373167358229603</v>
      </c>
      <c r="EQ271" s="396">
        <v>1.7259935454126325</v>
      </c>
      <c r="ER271" s="396">
        <v>1265.8364404258455</v>
      </c>
      <c r="ES271" s="396">
        <v>5.9371741723456255</v>
      </c>
      <c r="ET271" s="396">
        <v>0.57372080931766301</v>
      </c>
      <c r="EU271" s="396">
        <v>10.724571193429368</v>
      </c>
      <c r="EV271" s="396">
        <v>1.8251909436942009</v>
      </c>
      <c r="EW271" s="396">
        <v>2399.2454933230447</v>
      </c>
      <c r="EX271" s="396">
        <v>25.753595695882368</v>
      </c>
      <c r="EY271" s="396">
        <v>0.28960892118406106</v>
      </c>
      <c r="EZ271" s="396">
        <v>18.146528626240542</v>
      </c>
      <c r="FA271" s="396">
        <v>4.7459434548689261</v>
      </c>
      <c r="FB271" s="396">
        <v>0</v>
      </c>
      <c r="FC271" s="396">
        <v>0</v>
      </c>
      <c r="FD271" s="396">
        <v>0</v>
      </c>
      <c r="FE271" s="396">
        <v>0</v>
      </c>
      <c r="FF271" s="396">
        <v>0</v>
      </c>
      <c r="FG271" s="396">
        <v>818.3707296859194</v>
      </c>
      <c r="FH271" s="396">
        <v>13.513164897398708</v>
      </c>
      <c r="FI271" s="396">
        <v>3.1445233945569105E-2</v>
      </c>
      <c r="FJ271" s="396">
        <v>1.4489146729393412</v>
      </c>
      <c r="FK271" s="396">
        <v>1.1174745172600113</v>
      </c>
      <c r="FL271" s="396">
        <v>1166.0265951256561</v>
      </c>
      <c r="FM271" s="396">
        <v>5.2474779956266886</v>
      </c>
      <c r="FN271" s="396">
        <v>0.53380006492591703</v>
      </c>
      <c r="FO271" s="396">
        <v>9.7314149562362555</v>
      </c>
      <c r="FP271" s="396">
        <v>1.5748761201251968</v>
      </c>
      <c r="FQ271" s="396">
        <v>2107.4902608900957</v>
      </c>
      <c r="FR271" s="396">
        <v>22.526384134104593</v>
      </c>
      <c r="FS271" s="396">
        <v>0.29032227600047222</v>
      </c>
      <c r="FT271" s="396">
        <v>16.970723645378353</v>
      </c>
      <c r="FU271" s="396">
        <v>4.1680793294770391</v>
      </c>
      <c r="FV271" s="396">
        <v>0</v>
      </c>
      <c r="FW271" s="396">
        <v>0</v>
      </c>
      <c r="FX271" s="396">
        <v>0</v>
      </c>
      <c r="FY271" s="396">
        <v>0</v>
      </c>
      <c r="FZ271" s="396">
        <v>0</v>
      </c>
      <c r="GA271" s="396">
        <v>1848.7647704610267</v>
      </c>
      <c r="GB271" s="396">
        <v>6.1422056788728003</v>
      </c>
      <c r="GC271" s="396">
        <v>0.77915927737610358</v>
      </c>
      <c r="GD271" s="396">
        <v>19.59951669167657</v>
      </c>
      <c r="GE271" s="396">
        <v>1.4357440284788132</v>
      </c>
      <c r="GF271" s="396">
        <v>2371.257795015968</v>
      </c>
      <c r="GG271" s="396">
        <v>44.788987026226295</v>
      </c>
      <c r="GH271" s="396">
        <v>8.5562993286131834E-3</v>
      </c>
      <c r="GI271" s="396">
        <v>1.0384215640206751</v>
      </c>
      <c r="GJ271" s="396">
        <v>0.98070857989343818</v>
      </c>
      <c r="GK271" s="396">
        <v>0</v>
      </c>
      <c r="GL271" s="396">
        <v>0</v>
      </c>
      <c r="GM271" s="396">
        <v>0</v>
      </c>
      <c r="GN271" s="396">
        <v>0</v>
      </c>
      <c r="GO271" s="396">
        <v>0</v>
      </c>
      <c r="GP271" s="396">
        <v>1496.15002441406</v>
      </c>
      <c r="GQ271" s="396">
        <v>36.636000000000003</v>
      </c>
      <c r="GR271" s="396">
        <v>1.0500000000000001E-2</v>
      </c>
      <c r="GS271" s="396">
        <v>4.8484999999999996</v>
      </c>
      <c r="GT271" s="396">
        <v>1.5934999999999999</v>
      </c>
      <c r="GU271" s="396">
        <v>1900.0072584742686</v>
      </c>
      <c r="GV271" s="396">
        <v>6.3081948174493725</v>
      </c>
      <c r="GW271" s="396">
        <v>0.75857104836563349</v>
      </c>
      <c r="GX271" s="396">
        <v>21.305726936198013</v>
      </c>
      <c r="GY271" s="396">
        <v>1.5934999999999999</v>
      </c>
      <c r="GZ271" s="396">
        <v>0</v>
      </c>
      <c r="HA271" s="396">
        <v>0</v>
      </c>
      <c r="HB271" s="396">
        <v>0</v>
      </c>
      <c r="HC271" s="396">
        <v>0</v>
      </c>
      <c r="HD271" s="487">
        <v>0</v>
      </c>
    </row>
    <row r="272" spans="2:212" x14ac:dyDescent="0.35">
      <c r="B272" s="396">
        <v>2002</v>
      </c>
      <c r="C272" s="396">
        <v>399.81466028371909</v>
      </c>
      <c r="D272" s="396">
        <v>6.7369932803373</v>
      </c>
      <c r="E272" s="396">
        <v>7.350063683077869E-3</v>
      </c>
      <c r="F272" s="396">
        <v>0.31770126048574815</v>
      </c>
      <c r="G272" s="396">
        <v>0.42923799903377396</v>
      </c>
      <c r="H272" s="396">
        <v>434.45113342444404</v>
      </c>
      <c r="I272" s="396">
        <v>6.3705004687305875</v>
      </c>
      <c r="J272" s="396">
        <v>6.646882094491568E-3</v>
      </c>
      <c r="K272" s="396">
        <v>0.50317946169398109</v>
      </c>
      <c r="L272" s="396">
        <v>0.25763428472465372</v>
      </c>
      <c r="M272" s="396">
        <v>392.61594265480608</v>
      </c>
      <c r="N272" s="396">
        <v>6.7060441933056154</v>
      </c>
      <c r="O272" s="396">
        <v>7.8102599533638479E-3</v>
      </c>
      <c r="P272" s="396">
        <v>0.32424586381750209</v>
      </c>
      <c r="Q272" s="396">
        <v>0.51702219535365757</v>
      </c>
      <c r="R272" s="396">
        <v>0</v>
      </c>
      <c r="S272" s="396">
        <v>0</v>
      </c>
      <c r="T272" s="396">
        <v>0</v>
      </c>
      <c r="U272" s="396">
        <v>0</v>
      </c>
      <c r="V272" s="396">
        <v>0</v>
      </c>
      <c r="W272" s="396">
        <v>576.91747105574348</v>
      </c>
      <c r="X272" s="396">
        <v>9.9521491626103451</v>
      </c>
      <c r="Y272" s="396">
        <v>1.0586310260429558E-2</v>
      </c>
      <c r="Z272" s="396">
        <v>0.68048909605918106</v>
      </c>
      <c r="AA272" s="396">
        <v>0.49665731650303879</v>
      </c>
      <c r="AB272" s="396">
        <v>838.09365595832764</v>
      </c>
      <c r="AC272" s="396">
        <v>5.129386065410996</v>
      </c>
      <c r="AD272" s="396">
        <v>0.33239005239600994</v>
      </c>
      <c r="AE272" s="396">
        <v>6.3065395719719533</v>
      </c>
      <c r="AF272" s="396">
        <v>1.3711886867390739</v>
      </c>
      <c r="AG272" s="396">
        <v>564.08782893949194</v>
      </c>
      <c r="AH272" s="396">
        <v>9.0824413954936194</v>
      </c>
      <c r="AI272" s="396">
        <v>1.0542226372626487E-2</v>
      </c>
      <c r="AJ272" s="396">
        <v>0.61929618721515844</v>
      </c>
      <c r="AK272" s="396">
        <v>0.56127433374039226</v>
      </c>
      <c r="AL272" s="396">
        <v>0</v>
      </c>
      <c r="AM272" s="396">
        <v>0</v>
      </c>
      <c r="AN272" s="396">
        <v>0</v>
      </c>
      <c r="AO272" s="396">
        <v>0</v>
      </c>
      <c r="AP272" s="396">
        <v>0</v>
      </c>
      <c r="AQ272" s="396">
        <v>579.75880817108828</v>
      </c>
      <c r="AR272" s="396">
        <v>13.383872955027723</v>
      </c>
      <c r="AS272" s="396">
        <v>1.316226298856869E-2</v>
      </c>
      <c r="AT272" s="396">
        <v>1.0339492289488867</v>
      </c>
      <c r="AU272" s="396">
        <v>0.61332788985263487</v>
      </c>
      <c r="AV272" s="396">
        <v>843.98468522556118</v>
      </c>
      <c r="AW272" s="396">
        <v>5.1821920982504928</v>
      </c>
      <c r="AX272" s="396">
        <v>0.33182055171106267</v>
      </c>
      <c r="AY272" s="396">
        <v>6.2521460696643176</v>
      </c>
      <c r="AZ272" s="396">
        <v>1.3627147386271474</v>
      </c>
      <c r="BA272" s="396">
        <v>549.22366036983419</v>
      </c>
      <c r="BB272" s="396">
        <v>8.2649784566836288</v>
      </c>
      <c r="BC272" s="396">
        <v>9.4912829760119295E-3</v>
      </c>
      <c r="BD272" s="396">
        <v>0.58309304805416617</v>
      </c>
      <c r="BE272" s="396">
        <v>0.53480480975127664</v>
      </c>
      <c r="BF272" s="396">
        <v>0</v>
      </c>
      <c r="BG272" s="396">
        <v>0</v>
      </c>
      <c r="BH272" s="396">
        <v>0</v>
      </c>
      <c r="BI272" s="396">
        <v>0</v>
      </c>
      <c r="BJ272" s="396">
        <v>0</v>
      </c>
      <c r="BK272" s="396">
        <v>1147.5655591129575</v>
      </c>
      <c r="BL272" s="396">
        <v>30.297679598239618</v>
      </c>
      <c r="BM272" s="396">
        <v>8.9497049973765661E-2</v>
      </c>
      <c r="BN272" s="396">
        <v>1.8640096799408925</v>
      </c>
      <c r="BO272" s="396">
        <v>1.120410326698005</v>
      </c>
      <c r="BP272" s="396">
        <v>1750.6221844186121</v>
      </c>
      <c r="BQ272" s="396">
        <v>6.6606645145137673</v>
      </c>
      <c r="BR272" s="396">
        <v>0.83757048798160239</v>
      </c>
      <c r="BS272" s="396">
        <v>18.813099282560433</v>
      </c>
      <c r="BT272" s="396">
        <v>1.5049998590654881</v>
      </c>
      <c r="BU272" s="396">
        <v>1833.9145655755319</v>
      </c>
      <c r="BV272" s="396">
        <v>3.6499332963254782</v>
      </c>
      <c r="BW272" s="396">
        <v>1.1352271506339088E-2</v>
      </c>
      <c r="BX272" s="396">
        <v>8.9554719396891329</v>
      </c>
      <c r="BY272" s="396">
        <v>0.40542403839266533</v>
      </c>
      <c r="BZ272" s="396">
        <v>0</v>
      </c>
      <c r="CA272" s="396">
        <v>0</v>
      </c>
      <c r="CB272" s="396">
        <v>0</v>
      </c>
      <c r="CC272" s="396">
        <v>0</v>
      </c>
      <c r="CD272" s="396">
        <v>0</v>
      </c>
      <c r="CE272" s="396">
        <v>1104.0817184412963</v>
      </c>
      <c r="CF272" s="396">
        <v>28.310984068266848</v>
      </c>
      <c r="CG272" s="396">
        <v>7.9986632477195355E-2</v>
      </c>
      <c r="CH272" s="396">
        <v>1.8003362898818782</v>
      </c>
      <c r="CI272" s="396">
        <v>1.0523098911261508</v>
      </c>
      <c r="CJ272" s="396">
        <v>1657.1287231826705</v>
      </c>
      <c r="CK272" s="396">
        <v>8.9618178504478223</v>
      </c>
      <c r="CL272" s="396">
        <v>0.46546422620287436</v>
      </c>
      <c r="CM272" s="396">
        <v>18.104040824828161</v>
      </c>
      <c r="CN272" s="396">
        <v>1.9195089564674028</v>
      </c>
      <c r="CO272" s="396">
        <v>1724.8354583878875</v>
      </c>
      <c r="CP272" s="396">
        <v>3.3571321868876374</v>
      </c>
      <c r="CQ272" s="396">
        <v>1.1558597903357615E-2</v>
      </c>
      <c r="CR272" s="396">
        <v>8.8208363722638641</v>
      </c>
      <c r="CS272" s="396">
        <v>0.35214277554678775</v>
      </c>
      <c r="CT272" s="396">
        <v>0</v>
      </c>
      <c r="CU272" s="396">
        <v>0</v>
      </c>
      <c r="CV272" s="396">
        <v>0</v>
      </c>
      <c r="CW272" s="396">
        <v>0</v>
      </c>
      <c r="CX272" s="396">
        <v>0</v>
      </c>
      <c r="CY272" s="396">
        <v>1182.6163677057316</v>
      </c>
      <c r="CZ272" s="396">
        <v>31.071912809367806</v>
      </c>
      <c r="DA272" s="396">
        <v>2.3409127769308119E-2</v>
      </c>
      <c r="DB272" s="396">
        <v>1.9732848940932239</v>
      </c>
      <c r="DC272" s="396">
        <v>1.3129585779623083</v>
      </c>
      <c r="DD272" s="396">
        <v>1260.8877606076117</v>
      </c>
      <c r="DE272" s="396">
        <v>4.9160245147545067</v>
      </c>
      <c r="DF272" s="396">
        <v>0.55915983011219783</v>
      </c>
      <c r="DG272" s="396">
        <v>9.6989610281809018</v>
      </c>
      <c r="DH272" s="396">
        <v>2.0316014830596405</v>
      </c>
      <c r="DI272" s="396">
        <v>1493.6805994402816</v>
      </c>
      <c r="DJ272" s="396">
        <v>3.1577909181186241</v>
      </c>
      <c r="DK272" s="396">
        <v>1.174009208269387E-2</v>
      </c>
      <c r="DL272" s="396">
        <v>7.9503024284553572</v>
      </c>
      <c r="DM272" s="396">
        <v>0.32679019590141734</v>
      </c>
      <c r="DN272" s="396">
        <v>0</v>
      </c>
      <c r="DO272" s="396">
        <v>0</v>
      </c>
      <c r="DP272" s="396">
        <v>0</v>
      </c>
      <c r="DQ272" s="396">
        <v>0</v>
      </c>
      <c r="DR272" s="396">
        <v>0</v>
      </c>
      <c r="DS272" s="396">
        <v>1583.0700339796022</v>
      </c>
      <c r="DT272" s="396">
        <v>25.348248360003794</v>
      </c>
      <c r="DU272" s="396">
        <v>1.932444561196121E-2</v>
      </c>
      <c r="DV272" s="396">
        <v>2.0532290351690099</v>
      </c>
      <c r="DW272" s="396">
        <v>1.1413522276463104</v>
      </c>
      <c r="DX272" s="396">
        <v>1830.5896525317846</v>
      </c>
      <c r="DY272" s="396">
        <v>6.5244893663709522</v>
      </c>
      <c r="DZ272" s="396">
        <v>0.88048083080684836</v>
      </c>
      <c r="EA272" s="396">
        <v>19.674005042521081</v>
      </c>
      <c r="EB272" s="396">
        <v>1.7097326030783562</v>
      </c>
      <c r="EC272" s="396">
        <v>1884.3662864129581</v>
      </c>
      <c r="ED272" s="396">
        <v>3.4668162394024624</v>
      </c>
      <c r="EE272" s="396">
        <v>1.2649535746135252E-2</v>
      </c>
      <c r="EF272" s="396">
        <v>9.3779684202455833</v>
      </c>
      <c r="EG272" s="396">
        <v>0.40107498678460318</v>
      </c>
      <c r="EH272" s="396">
        <v>0</v>
      </c>
      <c r="EI272" s="396">
        <v>0</v>
      </c>
      <c r="EJ272" s="396">
        <v>0</v>
      </c>
      <c r="EK272" s="396">
        <v>0</v>
      </c>
      <c r="EL272" s="396">
        <v>0</v>
      </c>
      <c r="EM272" s="396">
        <v>920.61209978278441</v>
      </c>
      <c r="EN272" s="396">
        <v>30.004967709885744</v>
      </c>
      <c r="EO272" s="396">
        <v>4.0930715058005315E-2</v>
      </c>
      <c r="EP272" s="396">
        <v>2.3434538246495817</v>
      </c>
      <c r="EQ272" s="396">
        <v>1.7012750455373404</v>
      </c>
      <c r="ER272" s="396">
        <v>1262.3635743519781</v>
      </c>
      <c r="ES272" s="396">
        <v>5.9427377704151239</v>
      </c>
      <c r="ET272" s="396">
        <v>0.57138593841356466</v>
      </c>
      <c r="EU272" s="396">
        <v>10.715534252582342</v>
      </c>
      <c r="EV272" s="396">
        <v>1.8062085850711362</v>
      </c>
      <c r="EW272" s="396">
        <v>1845.5209327460223</v>
      </c>
      <c r="EX272" s="396">
        <v>4.0094048832445166</v>
      </c>
      <c r="EY272" s="396">
        <v>1.2965447179486032E-2</v>
      </c>
      <c r="EZ272" s="396">
        <v>9.0198827242610395</v>
      </c>
      <c r="FA272" s="396">
        <v>0.43237624903361072</v>
      </c>
      <c r="FB272" s="396">
        <v>0</v>
      </c>
      <c r="FC272" s="396">
        <v>0</v>
      </c>
      <c r="FD272" s="396">
        <v>0</v>
      </c>
      <c r="FE272" s="396">
        <v>0</v>
      </c>
      <c r="FF272" s="396">
        <v>0</v>
      </c>
      <c r="FG272" s="396">
        <v>826.04391689253487</v>
      </c>
      <c r="FH272" s="396">
        <v>13.753410571983926</v>
      </c>
      <c r="FI272" s="396">
        <v>3.1046915940957074E-2</v>
      </c>
      <c r="FJ272" s="396">
        <v>1.454772996838597</v>
      </c>
      <c r="FK272" s="396">
        <v>1.1070908328334919</v>
      </c>
      <c r="FL272" s="396">
        <v>1163.2476101852635</v>
      </c>
      <c r="FM272" s="396">
        <v>5.2672574232298457</v>
      </c>
      <c r="FN272" s="396">
        <v>0.53150255195555929</v>
      </c>
      <c r="FO272" s="396">
        <v>9.7158305839889465</v>
      </c>
      <c r="FP272" s="396">
        <v>1.558455291430505</v>
      </c>
      <c r="FQ272" s="396">
        <v>1589.8853123089834</v>
      </c>
      <c r="FR272" s="396">
        <v>3.0153175926981137</v>
      </c>
      <c r="FS272" s="396">
        <v>1.1284667902986855E-2</v>
      </c>
      <c r="FT272" s="396">
        <v>8.6059799218839039</v>
      </c>
      <c r="FU272" s="396">
        <v>0.35086974089077222</v>
      </c>
      <c r="FV272" s="396">
        <v>0</v>
      </c>
      <c r="FW272" s="396">
        <v>0</v>
      </c>
      <c r="FX272" s="396">
        <v>0</v>
      </c>
      <c r="FY272" s="396">
        <v>0</v>
      </c>
      <c r="FZ272" s="396">
        <v>0</v>
      </c>
      <c r="GA272" s="396">
        <v>1846.3854894339688</v>
      </c>
      <c r="GB272" s="396">
        <v>6.1131099322443401</v>
      </c>
      <c r="GC272" s="396">
        <v>0.77546352224381521</v>
      </c>
      <c r="GD272" s="396">
        <v>19.479139310538017</v>
      </c>
      <c r="GE272" s="396">
        <v>1.4481765498888246</v>
      </c>
      <c r="GF272" s="396">
        <v>2371.257795015968</v>
      </c>
      <c r="GG272" s="396">
        <v>44.788987026226295</v>
      </c>
      <c r="GH272" s="396">
        <v>8.5562993286131834E-3</v>
      </c>
      <c r="GI272" s="396">
        <v>1.0384215640206751</v>
      </c>
      <c r="GJ272" s="396">
        <v>0.98070857989343818</v>
      </c>
      <c r="GK272" s="396">
        <v>0</v>
      </c>
      <c r="GL272" s="396">
        <v>0</v>
      </c>
      <c r="GM272" s="396">
        <v>0</v>
      </c>
      <c r="GN272" s="396">
        <v>0</v>
      </c>
      <c r="GO272" s="396">
        <v>0</v>
      </c>
      <c r="GP272" s="396">
        <v>1496.17004394531</v>
      </c>
      <c r="GQ272" s="396">
        <v>35.869500000000002</v>
      </c>
      <c r="GR272" s="396">
        <v>7.1999999999999998E-3</v>
      </c>
      <c r="GS272" s="396">
        <v>4.6924000000000001</v>
      </c>
      <c r="GT272" s="396">
        <v>1.5004999999999999</v>
      </c>
      <c r="GU272" s="396">
        <v>1899.5317373930702</v>
      </c>
      <c r="GV272" s="396">
        <v>6.3111352994031664</v>
      </c>
      <c r="GW272" s="396">
        <v>0.7589360722921491</v>
      </c>
      <c r="GX272" s="396">
        <v>21.31665071700429</v>
      </c>
      <c r="GY272" s="396">
        <v>1.5004999999999999</v>
      </c>
      <c r="GZ272" s="396">
        <v>0</v>
      </c>
      <c r="HA272" s="396">
        <v>0</v>
      </c>
      <c r="HB272" s="396">
        <v>0</v>
      </c>
      <c r="HC272" s="396">
        <v>0</v>
      </c>
      <c r="HD272" s="487">
        <v>0</v>
      </c>
    </row>
    <row r="273" spans="2:212" x14ac:dyDescent="0.35">
      <c r="B273" s="396">
        <v>2003</v>
      </c>
      <c r="C273" s="396">
        <v>400.01319319231277</v>
      </c>
      <c r="D273" s="396">
        <v>6.4085638477212417</v>
      </c>
      <c r="E273" s="396">
        <v>8.5923596757406517E-3</v>
      </c>
      <c r="F273" s="396">
        <v>0.27504800856091594</v>
      </c>
      <c r="G273" s="396">
        <v>0.41588606945482798</v>
      </c>
      <c r="H273" s="396">
        <v>434.66869758553463</v>
      </c>
      <c r="I273" s="396">
        <v>6.0275648101190304</v>
      </c>
      <c r="J273" s="396">
        <v>7.9261463840928515E-3</v>
      </c>
      <c r="K273" s="396">
        <v>0.42711417074809999</v>
      </c>
      <c r="L273" s="396">
        <v>0.23609958287780972</v>
      </c>
      <c r="M273" s="396">
        <v>392.68796063146033</v>
      </c>
      <c r="N273" s="396">
        <v>6.378186333689766</v>
      </c>
      <c r="O273" s="396">
        <v>9.1043484759638048E-3</v>
      </c>
      <c r="P273" s="396">
        <v>0.28075264737332278</v>
      </c>
      <c r="Q273" s="396">
        <v>0.50201211870350571</v>
      </c>
      <c r="R273" s="396">
        <v>0</v>
      </c>
      <c r="S273" s="396">
        <v>0</v>
      </c>
      <c r="T273" s="396">
        <v>0</v>
      </c>
      <c r="U273" s="396">
        <v>0</v>
      </c>
      <c r="V273" s="396">
        <v>0</v>
      </c>
      <c r="W273" s="396">
        <v>577.89888362428769</v>
      </c>
      <c r="X273" s="396">
        <v>9.4970003783306609</v>
      </c>
      <c r="Y273" s="396">
        <v>1.0232643330270658E-2</v>
      </c>
      <c r="Z273" s="396">
        <v>0.56911921018970579</v>
      </c>
      <c r="AA273" s="396">
        <v>0.48944157193387022</v>
      </c>
      <c r="AB273" s="396">
        <v>840.40058265483663</v>
      </c>
      <c r="AC273" s="396">
        <v>3.2764941712152407</v>
      </c>
      <c r="AD273" s="396">
        <v>0.28123085088777333</v>
      </c>
      <c r="AE273" s="396">
        <v>4.0600963437961717</v>
      </c>
      <c r="AF273" s="396">
        <v>0.88736482869977618</v>
      </c>
      <c r="AG273" s="396">
        <v>564.50897633497584</v>
      </c>
      <c r="AH273" s="396">
        <v>8.4296918367916547</v>
      </c>
      <c r="AI273" s="396">
        <v>9.8910559171863695E-3</v>
      </c>
      <c r="AJ273" s="396">
        <v>0.48426931795980271</v>
      </c>
      <c r="AK273" s="396">
        <v>0.54201619430687309</v>
      </c>
      <c r="AL273" s="396">
        <v>0</v>
      </c>
      <c r="AM273" s="396">
        <v>0</v>
      </c>
      <c r="AN273" s="396">
        <v>0</v>
      </c>
      <c r="AO273" s="396">
        <v>0</v>
      </c>
      <c r="AP273" s="396">
        <v>0</v>
      </c>
      <c r="AQ273" s="396">
        <v>582.71665471142467</v>
      </c>
      <c r="AR273" s="396">
        <v>13.625142126136378</v>
      </c>
      <c r="AS273" s="396">
        <v>1.3971188371231956E-2</v>
      </c>
      <c r="AT273" s="396">
        <v>1.0037762422606202</v>
      </c>
      <c r="AU273" s="396">
        <v>0.62572324169665561</v>
      </c>
      <c r="AV273" s="396">
        <v>843.70767676922753</v>
      </c>
      <c r="AW273" s="396">
        <v>3.4588614084513223</v>
      </c>
      <c r="AX273" s="396">
        <v>0.27179862284662148</v>
      </c>
      <c r="AY273" s="396">
        <v>3.9192065631370756</v>
      </c>
      <c r="AZ273" s="396">
        <v>0.86255114428308077</v>
      </c>
      <c r="BA273" s="396">
        <v>549.61913197519925</v>
      </c>
      <c r="BB273" s="396">
        <v>7.6728214212713768</v>
      </c>
      <c r="BC273" s="396">
        <v>9.0641139197383674E-3</v>
      </c>
      <c r="BD273" s="396">
        <v>0.4543149144920624</v>
      </c>
      <c r="BE273" s="396">
        <v>0.5159705661920011</v>
      </c>
      <c r="BF273" s="396">
        <v>0</v>
      </c>
      <c r="BG273" s="396">
        <v>0</v>
      </c>
      <c r="BH273" s="396">
        <v>0</v>
      </c>
      <c r="BI273" s="396">
        <v>0</v>
      </c>
      <c r="BJ273" s="396">
        <v>0</v>
      </c>
      <c r="BK273" s="396">
        <v>1146.9169076505909</v>
      </c>
      <c r="BL273" s="396">
        <v>30.29270330714596</v>
      </c>
      <c r="BM273" s="396">
        <v>0.11306228444568235</v>
      </c>
      <c r="BN273" s="396">
        <v>1.8630037110159008</v>
      </c>
      <c r="BO273" s="396">
        <v>1.115737820413045</v>
      </c>
      <c r="BP273" s="396">
        <v>1743.1257572943475</v>
      </c>
      <c r="BQ273" s="396">
        <v>3.8208024150872197</v>
      </c>
      <c r="BR273" s="396">
        <v>0.74244769325562132</v>
      </c>
      <c r="BS273" s="396">
        <v>9.6588158643400224</v>
      </c>
      <c r="BT273" s="396">
        <v>1.1125984298395346</v>
      </c>
      <c r="BU273" s="396">
        <v>1833.912805201368</v>
      </c>
      <c r="BV273" s="396">
        <v>3.6499076522314713</v>
      </c>
      <c r="BW273" s="396">
        <v>1.1352227556289434E-2</v>
      </c>
      <c r="BX273" s="396">
        <v>8.9554381981687037</v>
      </c>
      <c r="BY273" s="396">
        <v>0.4054227179069263</v>
      </c>
      <c r="BZ273" s="396">
        <v>0</v>
      </c>
      <c r="CA273" s="396">
        <v>0</v>
      </c>
      <c r="CB273" s="396">
        <v>0</v>
      </c>
      <c r="CC273" s="396">
        <v>0</v>
      </c>
      <c r="CD273" s="396">
        <v>0</v>
      </c>
      <c r="CE273" s="396">
        <v>1103.5602996751309</v>
      </c>
      <c r="CF273" s="396">
        <v>28.307881573810104</v>
      </c>
      <c r="CG273" s="396">
        <v>9.4984051212918141E-2</v>
      </c>
      <c r="CH273" s="396">
        <v>1.7992957487089953</v>
      </c>
      <c r="CI273" s="396">
        <v>1.0462183326335019</v>
      </c>
      <c r="CJ273" s="396">
        <v>1649.6822716319068</v>
      </c>
      <c r="CK273" s="396">
        <v>4.2045258729245587</v>
      </c>
      <c r="CL273" s="396">
        <v>0.42375712138363614</v>
      </c>
      <c r="CM273" s="396">
        <v>10.371173540398027</v>
      </c>
      <c r="CN273" s="396">
        <v>1.1839219106649099</v>
      </c>
      <c r="CO273" s="396">
        <v>1724.8391948542353</v>
      </c>
      <c r="CP273" s="396">
        <v>3.3571154276936865</v>
      </c>
      <c r="CQ273" s="396">
        <v>1.1558529872955933E-2</v>
      </c>
      <c r="CR273" s="396">
        <v>8.8208422669525426</v>
      </c>
      <c r="CS273" s="396">
        <v>0.35214086850779225</v>
      </c>
      <c r="CT273" s="396">
        <v>0</v>
      </c>
      <c r="CU273" s="396">
        <v>0</v>
      </c>
      <c r="CV273" s="396">
        <v>0</v>
      </c>
      <c r="CW273" s="396">
        <v>0</v>
      </c>
      <c r="CX273" s="396">
        <v>0</v>
      </c>
      <c r="CY273" s="396">
        <v>966.93975304892786</v>
      </c>
      <c r="CZ273" s="396">
        <v>30.391408476951003</v>
      </c>
      <c r="DA273" s="396">
        <v>8.1998384948270039E-2</v>
      </c>
      <c r="DB273" s="396">
        <v>1.7662868304264703</v>
      </c>
      <c r="DC273" s="396">
        <v>1.1986168531338217</v>
      </c>
      <c r="DD273" s="396">
        <v>1259.1621627855127</v>
      </c>
      <c r="DE273" s="396">
        <v>3.9107270532700871</v>
      </c>
      <c r="DF273" s="396">
        <v>0.50203731750632341</v>
      </c>
      <c r="DG273" s="396">
        <v>7.4633859448156041</v>
      </c>
      <c r="DH273" s="396">
        <v>1.134501395370292</v>
      </c>
      <c r="DI273" s="396">
        <v>1493.689345373235</v>
      </c>
      <c r="DJ273" s="396">
        <v>3.1578149751519757</v>
      </c>
      <c r="DK273" s="396">
        <v>1.17401622984851E-2</v>
      </c>
      <c r="DL273" s="396">
        <v>7.9503382648130252</v>
      </c>
      <c r="DM273" s="396">
        <v>0.32679297507191341</v>
      </c>
      <c r="DN273" s="396">
        <v>0</v>
      </c>
      <c r="DO273" s="396">
        <v>0</v>
      </c>
      <c r="DP273" s="396">
        <v>0</v>
      </c>
      <c r="DQ273" s="396">
        <v>0</v>
      </c>
      <c r="DR273" s="396">
        <v>0</v>
      </c>
      <c r="DS273" s="396">
        <v>1583.0700339796022</v>
      </c>
      <c r="DT273" s="396">
        <v>25.348248360003794</v>
      </c>
      <c r="DU273" s="396">
        <v>1.932444561196121E-2</v>
      </c>
      <c r="DV273" s="396">
        <v>2.0532290351690099</v>
      </c>
      <c r="DW273" s="396">
        <v>1.1413522276463104</v>
      </c>
      <c r="DX273" s="396">
        <v>1832.3481667078379</v>
      </c>
      <c r="DY273" s="396">
        <v>3.8260666266718428</v>
      </c>
      <c r="DZ273" s="396">
        <v>0.79834668454670565</v>
      </c>
      <c r="EA273" s="396">
        <v>10.35677735822423</v>
      </c>
      <c r="EB273" s="396">
        <v>1.1567738292691534</v>
      </c>
      <c r="EC273" s="396">
        <v>1884.3621884641907</v>
      </c>
      <c r="ED273" s="396">
        <v>3.4668236330003883</v>
      </c>
      <c r="EE273" s="396">
        <v>1.2649573065355479E-2</v>
      </c>
      <c r="EF273" s="396">
        <v>9.3779560405080176</v>
      </c>
      <c r="EG273" s="396">
        <v>0.40107533289470326</v>
      </c>
      <c r="EH273" s="396">
        <v>0</v>
      </c>
      <c r="EI273" s="396">
        <v>0</v>
      </c>
      <c r="EJ273" s="396">
        <v>0</v>
      </c>
      <c r="EK273" s="396">
        <v>0</v>
      </c>
      <c r="EL273" s="396">
        <v>0</v>
      </c>
      <c r="EM273" s="396">
        <v>908.85336303627355</v>
      </c>
      <c r="EN273" s="396">
        <v>29.72400003652001</v>
      </c>
      <c r="EO273" s="396">
        <v>4.0858767997516643E-2</v>
      </c>
      <c r="EP273" s="396">
        <v>2.3337746167681614</v>
      </c>
      <c r="EQ273" s="396">
        <v>1.649736599439418</v>
      </c>
      <c r="ER273" s="396">
        <v>1261.7914036351312</v>
      </c>
      <c r="ES273" s="396">
        <v>3.8753813074609158</v>
      </c>
      <c r="ET273" s="396">
        <v>0.49943068677710462</v>
      </c>
      <c r="EU273" s="396">
        <v>6.5855505656060673</v>
      </c>
      <c r="EV273" s="396">
        <v>1.18079004787527</v>
      </c>
      <c r="EW273" s="396">
        <v>1845.5125450122466</v>
      </c>
      <c r="EX273" s="396">
        <v>4.0093967628736067</v>
      </c>
      <c r="EY273" s="396">
        <v>1.2965446450552249E-2</v>
      </c>
      <c r="EZ273" s="396">
        <v>9.0198770186836477</v>
      </c>
      <c r="FA273" s="396">
        <v>0.43237627108742915</v>
      </c>
      <c r="FB273" s="396">
        <v>0</v>
      </c>
      <c r="FC273" s="396">
        <v>0</v>
      </c>
      <c r="FD273" s="396">
        <v>0</v>
      </c>
      <c r="FE273" s="396">
        <v>0</v>
      </c>
      <c r="FF273" s="396">
        <v>0</v>
      </c>
      <c r="FG273" s="396">
        <v>815.32571115296537</v>
      </c>
      <c r="FH273" s="396">
        <v>13.615981819950305</v>
      </c>
      <c r="FI273" s="396">
        <v>2.9720313729651344E-2</v>
      </c>
      <c r="FJ273" s="396">
        <v>1.4457450194975729</v>
      </c>
      <c r="FK273" s="396">
        <v>1.085904271781132</v>
      </c>
      <c r="FL273" s="396">
        <v>1163.3616074577012</v>
      </c>
      <c r="FM273" s="396">
        <v>3.3818673744814807</v>
      </c>
      <c r="FN273" s="396">
        <v>0.46402390157270812</v>
      </c>
      <c r="FO273" s="396">
        <v>5.980656908567509</v>
      </c>
      <c r="FP273" s="396">
        <v>0.96516704814294785</v>
      </c>
      <c r="FQ273" s="396">
        <v>1589.8862404105851</v>
      </c>
      <c r="FR273" s="396">
        <v>3.0153194900014144</v>
      </c>
      <c r="FS273" s="396">
        <v>1.1284661651096848E-2</v>
      </c>
      <c r="FT273" s="396">
        <v>8.6059903954307586</v>
      </c>
      <c r="FU273" s="396">
        <v>0.35086986684268312</v>
      </c>
      <c r="FV273" s="396">
        <v>0</v>
      </c>
      <c r="FW273" s="396">
        <v>0</v>
      </c>
      <c r="FX273" s="396">
        <v>0</v>
      </c>
      <c r="FY273" s="396">
        <v>0</v>
      </c>
      <c r="FZ273" s="396">
        <v>0</v>
      </c>
      <c r="GA273" s="396">
        <v>1849.3228354573921</v>
      </c>
      <c r="GB273" s="396">
        <v>3.3102908392716777</v>
      </c>
      <c r="GC273" s="396">
        <v>0.70471502390371499</v>
      </c>
      <c r="GD273" s="396">
        <v>10.08801206138938</v>
      </c>
      <c r="GE273" s="396">
        <v>0.96119351056015878</v>
      </c>
      <c r="GF273" s="396">
        <v>2371.257795015968</v>
      </c>
      <c r="GG273" s="396">
        <v>44.788987026226295</v>
      </c>
      <c r="GH273" s="396">
        <v>8.5562993286131834E-3</v>
      </c>
      <c r="GI273" s="396">
        <v>1.0384215640206751</v>
      </c>
      <c r="GJ273" s="396">
        <v>0.98070857989343818</v>
      </c>
      <c r="GK273" s="396">
        <v>0</v>
      </c>
      <c r="GL273" s="396">
        <v>0</v>
      </c>
      <c r="GM273" s="396">
        <v>0</v>
      </c>
      <c r="GN273" s="396">
        <v>0</v>
      </c>
      <c r="GO273" s="396">
        <v>0</v>
      </c>
      <c r="GP273" s="396">
        <v>1496.13000488281</v>
      </c>
      <c r="GQ273" s="396">
        <v>35.235999999999997</v>
      </c>
      <c r="GR273" s="396">
        <v>7.1999999999999998E-3</v>
      </c>
      <c r="GS273" s="396">
        <v>4.5202999999999998</v>
      </c>
      <c r="GT273" s="396">
        <v>1.4473</v>
      </c>
      <c r="GU273" s="396">
        <v>1899.5499884672777</v>
      </c>
      <c r="GV273" s="396">
        <v>2.9379727827752906</v>
      </c>
      <c r="GW273" s="396">
        <v>0.68699014776006284</v>
      </c>
      <c r="GX273" s="396">
        <v>10.451894426164689</v>
      </c>
      <c r="GY273" s="396">
        <v>1.4473</v>
      </c>
      <c r="GZ273" s="396">
        <v>0</v>
      </c>
      <c r="HA273" s="396">
        <v>0</v>
      </c>
      <c r="HB273" s="396">
        <v>0</v>
      </c>
      <c r="HC273" s="396">
        <v>0</v>
      </c>
      <c r="HD273" s="487">
        <v>0</v>
      </c>
    </row>
    <row r="274" spans="2:212" x14ac:dyDescent="0.35">
      <c r="B274" s="396">
        <v>2004</v>
      </c>
      <c r="C274" s="396">
        <v>400.2508080848724</v>
      </c>
      <c r="D274" s="396">
        <v>6.1805818211081158</v>
      </c>
      <c r="E274" s="396">
        <v>2.5046205018844137E-3</v>
      </c>
      <c r="F274" s="396">
        <v>0.2057927279067584</v>
      </c>
      <c r="G274" s="396">
        <v>0.37024571144999263</v>
      </c>
      <c r="H274" s="396">
        <v>434.87225512600526</v>
      </c>
      <c r="I274" s="396">
        <v>5.8215841787716567</v>
      </c>
      <c r="J274" s="396">
        <v>2.1863707171267486E-3</v>
      </c>
      <c r="K274" s="396">
        <v>0.30884132117694502</v>
      </c>
      <c r="L274" s="396">
        <v>0.22173679257964779</v>
      </c>
      <c r="M274" s="396">
        <v>392.86662946867114</v>
      </c>
      <c r="N274" s="396">
        <v>6.1535438949444776</v>
      </c>
      <c r="O274" s="396">
        <v>2.659803374539282E-3</v>
      </c>
      <c r="P274" s="396">
        <v>0.2101063286364315</v>
      </c>
      <c r="Q274" s="396">
        <v>0.44666671905820959</v>
      </c>
      <c r="R274" s="396">
        <v>0</v>
      </c>
      <c r="S274" s="396">
        <v>0</v>
      </c>
      <c r="T274" s="396">
        <v>0</v>
      </c>
      <c r="U274" s="396">
        <v>0</v>
      </c>
      <c r="V274" s="396">
        <v>0</v>
      </c>
      <c r="W274" s="396">
        <v>577.09877068250387</v>
      </c>
      <c r="X274" s="396">
        <v>7.9022049663025911</v>
      </c>
      <c r="Y274" s="396">
        <v>5.0133839002936952E-3</v>
      </c>
      <c r="Z274" s="396">
        <v>0.40160056437530955</v>
      </c>
      <c r="AA274" s="396">
        <v>0.41552882666973534</v>
      </c>
      <c r="AB274" s="396">
        <v>840.36303942178233</v>
      </c>
      <c r="AC274" s="396">
        <v>3.2856248671374919</v>
      </c>
      <c r="AD274" s="396">
        <v>0.27959349977560999</v>
      </c>
      <c r="AE274" s="396">
        <v>4.0391147223468833</v>
      </c>
      <c r="AF274" s="396">
        <v>0.88387934903276089</v>
      </c>
      <c r="AG274" s="396">
        <v>563.78255702571971</v>
      </c>
      <c r="AH274" s="396">
        <v>6.9080314948111461</v>
      </c>
      <c r="AI274" s="396">
        <v>4.3758073426948653E-3</v>
      </c>
      <c r="AJ274" s="396">
        <v>0.31850657996716969</v>
      </c>
      <c r="AK274" s="396">
        <v>0.46131313171460708</v>
      </c>
      <c r="AL274" s="396">
        <v>0</v>
      </c>
      <c r="AM274" s="396">
        <v>0</v>
      </c>
      <c r="AN274" s="396">
        <v>0</v>
      </c>
      <c r="AO274" s="396">
        <v>0</v>
      </c>
      <c r="AP274" s="396">
        <v>0</v>
      </c>
      <c r="AQ274" s="396">
        <v>581.62230992376703</v>
      </c>
      <c r="AR274" s="396">
        <v>12.52723807596303</v>
      </c>
      <c r="AS274" s="396">
        <v>9.6970923564730482E-3</v>
      </c>
      <c r="AT274" s="396">
        <v>0.88289313904068001</v>
      </c>
      <c r="AU274" s="396">
        <v>0.56140288740470889</v>
      </c>
      <c r="AV274" s="396">
        <v>841.29039708332641</v>
      </c>
      <c r="AW274" s="396">
        <v>3.4778444990679178</v>
      </c>
      <c r="AX274" s="396">
        <v>0.26253608723625388</v>
      </c>
      <c r="AY274" s="396">
        <v>3.7904795684378971</v>
      </c>
      <c r="AZ274" s="396">
        <v>0.83877460118448621</v>
      </c>
      <c r="BA274" s="396">
        <v>548.91469317742997</v>
      </c>
      <c r="BB274" s="396">
        <v>6.2845237133029794</v>
      </c>
      <c r="BC274" s="396">
        <v>4.0889529505796982E-3</v>
      </c>
      <c r="BD274" s="396">
        <v>0.29815358640694739</v>
      </c>
      <c r="BE274" s="396">
        <v>0.43841905326400304</v>
      </c>
      <c r="BF274" s="396">
        <v>0</v>
      </c>
      <c r="BG274" s="396">
        <v>0</v>
      </c>
      <c r="BH274" s="396">
        <v>0</v>
      </c>
      <c r="BI274" s="396">
        <v>0</v>
      </c>
      <c r="BJ274" s="396">
        <v>0</v>
      </c>
      <c r="BK274" s="396">
        <v>1149.775713305226</v>
      </c>
      <c r="BL274" s="396">
        <v>30.308629113965424</v>
      </c>
      <c r="BM274" s="396">
        <v>6.8325836683334973E-2</v>
      </c>
      <c r="BN274" s="396">
        <v>1.8662675262280617</v>
      </c>
      <c r="BO274" s="396">
        <v>1.0835314736738897</v>
      </c>
      <c r="BP274" s="396">
        <v>1741.744539237817</v>
      </c>
      <c r="BQ274" s="396">
        <v>3.7945242995618114</v>
      </c>
      <c r="BR274" s="396">
        <v>0.74110758863364756</v>
      </c>
      <c r="BS274" s="396">
        <v>9.5230132120568314</v>
      </c>
      <c r="BT274" s="396">
        <v>1.100335280839198</v>
      </c>
      <c r="BU274" s="396">
        <v>1833.9098527486597</v>
      </c>
      <c r="BV274" s="396">
        <v>3.6499077887454487</v>
      </c>
      <c r="BW274" s="396">
        <v>1.1352208770102531E-2</v>
      </c>
      <c r="BX274" s="396">
        <v>8.955432819562164</v>
      </c>
      <c r="BY274" s="396">
        <v>0.40542135287766001</v>
      </c>
      <c r="BZ274" s="396">
        <v>0</v>
      </c>
      <c r="CA274" s="396">
        <v>0</v>
      </c>
      <c r="CB274" s="396">
        <v>0</v>
      </c>
      <c r="CC274" s="396">
        <v>0</v>
      </c>
      <c r="CD274" s="396">
        <v>0</v>
      </c>
      <c r="CE274" s="396">
        <v>1105.9877270590659</v>
      </c>
      <c r="CF274" s="396">
        <v>28.317911668308636</v>
      </c>
      <c r="CG274" s="396">
        <v>6.0881642745378328E-2</v>
      </c>
      <c r="CH274" s="396">
        <v>1.802705713421034</v>
      </c>
      <c r="CI274" s="396">
        <v>1.002234370673724</v>
      </c>
      <c r="CJ274" s="396">
        <v>1650.4317183843621</v>
      </c>
      <c r="CK274" s="396">
        <v>4.1706703570816588</v>
      </c>
      <c r="CL274" s="396">
        <v>0.42339271395926498</v>
      </c>
      <c r="CM274" s="396">
        <v>10.249155333595814</v>
      </c>
      <c r="CN274" s="396">
        <v>1.1732223418351531</v>
      </c>
      <c r="CO274" s="396">
        <v>1724.8339533412652</v>
      </c>
      <c r="CP274" s="396">
        <v>3.3571095079596969</v>
      </c>
      <c r="CQ274" s="396">
        <v>1.1558564392969563E-2</v>
      </c>
      <c r="CR274" s="396">
        <v>8.8208503396237781</v>
      </c>
      <c r="CS274" s="396">
        <v>0.35214241607301533</v>
      </c>
      <c r="CT274" s="396">
        <v>0</v>
      </c>
      <c r="CU274" s="396">
        <v>0</v>
      </c>
      <c r="CV274" s="396">
        <v>0</v>
      </c>
      <c r="CW274" s="396">
        <v>0</v>
      </c>
      <c r="CX274" s="396">
        <v>0</v>
      </c>
      <c r="CY274" s="396">
        <v>1049.8074140496037</v>
      </c>
      <c r="CZ274" s="396">
        <v>30.654996026004198</v>
      </c>
      <c r="DA274" s="396">
        <v>4.2447913482375157E-2</v>
      </c>
      <c r="DB274" s="396">
        <v>1.8464475194793726</v>
      </c>
      <c r="DC274" s="396">
        <v>1.1910167315412992</v>
      </c>
      <c r="DD274" s="396">
        <v>1264.6482993179777</v>
      </c>
      <c r="DE274" s="396">
        <v>3.9154662886515719</v>
      </c>
      <c r="DF274" s="396">
        <v>0.50014535743779853</v>
      </c>
      <c r="DG274" s="396">
        <v>7.4540837721927362</v>
      </c>
      <c r="DH274" s="396">
        <v>1.1359696627450173</v>
      </c>
      <c r="DI274" s="396">
        <v>1493.684869783059</v>
      </c>
      <c r="DJ274" s="396">
        <v>3.1577912701588349</v>
      </c>
      <c r="DK274" s="396">
        <v>1.1740140220246692E-2</v>
      </c>
      <c r="DL274" s="396">
        <v>7.9503140168055531</v>
      </c>
      <c r="DM274" s="396">
        <v>0.3267905916737705</v>
      </c>
      <c r="DN274" s="396">
        <v>0</v>
      </c>
      <c r="DO274" s="396">
        <v>0</v>
      </c>
      <c r="DP274" s="396">
        <v>0</v>
      </c>
      <c r="DQ274" s="396">
        <v>0</v>
      </c>
      <c r="DR274" s="396">
        <v>0</v>
      </c>
      <c r="DS274" s="396">
        <v>1582.730923694779</v>
      </c>
      <c r="DT274" s="396">
        <v>25.348201315901907</v>
      </c>
      <c r="DU274" s="396">
        <v>2.8830214474920957E-2</v>
      </c>
      <c r="DV274" s="396">
        <v>2.0157224643253864</v>
      </c>
      <c r="DW274" s="396">
        <v>0.99315560112791579</v>
      </c>
      <c r="DX274" s="396">
        <v>1840.0767323415093</v>
      </c>
      <c r="DY274" s="396">
        <v>3.8454798284412277</v>
      </c>
      <c r="DZ274" s="396">
        <v>0.79336214984586517</v>
      </c>
      <c r="EA274" s="396">
        <v>10.342866237769737</v>
      </c>
      <c r="EB274" s="396">
        <v>1.162319059107358</v>
      </c>
      <c r="EC274" s="396">
        <v>1884.3666486634354</v>
      </c>
      <c r="ED274" s="396">
        <v>3.4668191096116212</v>
      </c>
      <c r="EE274" s="396">
        <v>1.2649526187687192E-2</v>
      </c>
      <c r="EF274" s="396">
        <v>9.3779415993883575</v>
      </c>
      <c r="EG274" s="396">
        <v>0.40107458247701083</v>
      </c>
      <c r="EH274" s="396">
        <v>0</v>
      </c>
      <c r="EI274" s="396">
        <v>0</v>
      </c>
      <c r="EJ274" s="396">
        <v>0</v>
      </c>
      <c r="EK274" s="396">
        <v>0</v>
      </c>
      <c r="EL274" s="396">
        <v>0</v>
      </c>
      <c r="EM274" s="396">
        <v>907.65155843095931</v>
      </c>
      <c r="EN274" s="396">
        <v>28.933248258311504</v>
      </c>
      <c r="EO274" s="396">
        <v>3.4289116579984118E-2</v>
      </c>
      <c r="EP274" s="396">
        <v>2.3335954831098875</v>
      </c>
      <c r="EQ274" s="396">
        <v>1.4909669617088208</v>
      </c>
      <c r="ER274" s="396">
        <v>1268.1652520178743</v>
      </c>
      <c r="ES274" s="396">
        <v>3.9258640753719614</v>
      </c>
      <c r="ET274" s="396">
        <v>0.50441707922690704</v>
      </c>
      <c r="EU274" s="396">
        <v>6.6703703947209823</v>
      </c>
      <c r="EV274" s="396">
        <v>1.1964268886273632</v>
      </c>
      <c r="EW274" s="396">
        <v>1845.530081913191</v>
      </c>
      <c r="EX274" s="396">
        <v>4.0094270784295274</v>
      </c>
      <c r="EY274" s="396">
        <v>1.2965469353168254E-2</v>
      </c>
      <c r="EZ274" s="396">
        <v>9.0199251482911222</v>
      </c>
      <c r="FA274" s="396">
        <v>0.43237807174465687</v>
      </c>
      <c r="FB274" s="396">
        <v>0</v>
      </c>
      <c r="FC274" s="396">
        <v>0</v>
      </c>
      <c r="FD274" s="396">
        <v>0</v>
      </c>
      <c r="FE274" s="396">
        <v>0</v>
      </c>
      <c r="FF274" s="396">
        <v>0</v>
      </c>
      <c r="FG274" s="396">
        <v>814.17822048979849</v>
      </c>
      <c r="FH274" s="396">
        <v>13.503648132519185</v>
      </c>
      <c r="FI274" s="396">
        <v>2.5831098668932208E-2</v>
      </c>
      <c r="FJ274" s="396">
        <v>1.4454801144497487</v>
      </c>
      <c r="FK274" s="396">
        <v>0.95988644848357818</v>
      </c>
      <c r="FL274" s="396">
        <v>1169.0011607981869</v>
      </c>
      <c r="FM274" s="396">
        <v>3.4046984688519148</v>
      </c>
      <c r="FN274" s="396">
        <v>0.46913216516499917</v>
      </c>
      <c r="FO274" s="396">
        <v>6.069868995633187</v>
      </c>
      <c r="FP274" s="396">
        <v>0.97942070642861112</v>
      </c>
      <c r="FQ274" s="396">
        <v>1589.8977965251413</v>
      </c>
      <c r="FR274" s="396">
        <v>3.015343879220012</v>
      </c>
      <c r="FS274" s="396">
        <v>1.128474190876789E-2</v>
      </c>
      <c r="FT274" s="396">
        <v>8.6060490921018644</v>
      </c>
      <c r="FU274" s="396">
        <v>0.35086990207108232</v>
      </c>
      <c r="FV274" s="396">
        <v>0</v>
      </c>
      <c r="FW274" s="396">
        <v>0</v>
      </c>
      <c r="FX274" s="396">
        <v>0</v>
      </c>
      <c r="FY274" s="396">
        <v>0</v>
      </c>
      <c r="FZ274" s="396">
        <v>0</v>
      </c>
      <c r="GA274" s="396">
        <v>1861.1809635722677</v>
      </c>
      <c r="GB274" s="396">
        <v>3.3070564042303174</v>
      </c>
      <c r="GC274" s="396">
        <v>0.70569330199764968</v>
      </c>
      <c r="GD274" s="396">
        <v>10.090305522914219</v>
      </c>
      <c r="GE274" s="396">
        <v>0.9603760282021151</v>
      </c>
      <c r="GF274" s="396">
        <v>2371.257795015968</v>
      </c>
      <c r="GG274" s="396">
        <v>44.788987026226295</v>
      </c>
      <c r="GH274" s="396">
        <v>8.5562993286131834E-3</v>
      </c>
      <c r="GI274" s="396">
        <v>1.0384215640206751</v>
      </c>
      <c r="GJ274" s="396">
        <v>0.98070857989343818</v>
      </c>
      <c r="GK274" s="396">
        <v>0</v>
      </c>
      <c r="GL274" s="396">
        <v>0</v>
      </c>
      <c r="GM274" s="396">
        <v>0</v>
      </c>
      <c r="GN274" s="396">
        <v>0</v>
      </c>
      <c r="GO274" s="396">
        <v>0</v>
      </c>
      <c r="GP274" s="396">
        <v>1496.13000488281</v>
      </c>
      <c r="GQ274" s="396">
        <v>34.681600000000003</v>
      </c>
      <c r="GR274" s="396">
        <v>8.2000000000000007E-3</v>
      </c>
      <c r="GS274" s="396">
        <v>3.8138999999999998</v>
      </c>
      <c r="GT274" s="396">
        <v>1.5086999999999999</v>
      </c>
      <c r="GU274" s="396">
        <v>1911.1053153837847</v>
      </c>
      <c r="GV274" s="396">
        <v>2.9379990749475837</v>
      </c>
      <c r="GW274" s="396">
        <v>0.68698182292377685</v>
      </c>
      <c r="GX274" s="396">
        <v>10.45189014289411</v>
      </c>
      <c r="GY274" s="396">
        <v>1.5086999999999999</v>
      </c>
      <c r="GZ274" s="396">
        <v>0</v>
      </c>
      <c r="HA274" s="396">
        <v>0</v>
      </c>
      <c r="HB274" s="396">
        <v>0</v>
      </c>
      <c r="HC274" s="396">
        <v>0</v>
      </c>
      <c r="HD274" s="487">
        <v>0</v>
      </c>
    </row>
    <row r="275" spans="2:212" x14ac:dyDescent="0.35">
      <c r="B275" s="396">
        <v>2005</v>
      </c>
      <c r="C275" s="396">
        <v>400.49240778494482</v>
      </c>
      <c r="D275" s="396">
        <v>6.1670175907667968</v>
      </c>
      <c r="E275" s="396">
        <v>2.5164600113632561E-3</v>
      </c>
      <c r="F275" s="396">
        <v>0.15947272261399462</v>
      </c>
      <c r="G275" s="396">
        <v>0.36343649387832405</v>
      </c>
      <c r="H275" s="396">
        <v>435.07064495337556</v>
      </c>
      <c r="I275" s="396">
        <v>5.8039369732105666</v>
      </c>
      <c r="J275" s="396">
        <v>2.193080779177094E-3</v>
      </c>
      <c r="K275" s="396">
        <v>0.2312844772995872</v>
      </c>
      <c r="L275" s="396">
        <v>0.21583255165033879</v>
      </c>
      <c r="M275" s="396">
        <v>393.07585713647131</v>
      </c>
      <c r="N275" s="396">
        <v>6.1402038353225166</v>
      </c>
      <c r="O275" s="396">
        <v>2.6730365204952838E-3</v>
      </c>
      <c r="P275" s="396">
        <v>0.16285123597514639</v>
      </c>
      <c r="Q275" s="396">
        <v>0.43871753609583836</v>
      </c>
      <c r="R275" s="396">
        <v>0</v>
      </c>
      <c r="S275" s="396">
        <v>0</v>
      </c>
      <c r="T275" s="396">
        <v>0</v>
      </c>
      <c r="U275" s="396">
        <v>0</v>
      </c>
      <c r="V275" s="396">
        <v>0</v>
      </c>
      <c r="W275" s="396">
        <v>577.59779540260797</v>
      </c>
      <c r="X275" s="396">
        <v>7.5972672978318894</v>
      </c>
      <c r="Y275" s="396">
        <v>4.8137710521767522E-3</v>
      </c>
      <c r="Z275" s="396">
        <v>0.30601079254124014</v>
      </c>
      <c r="AA275" s="396">
        <v>0.38562786856912412</v>
      </c>
      <c r="AB275" s="396">
        <v>846.99581469410225</v>
      </c>
      <c r="AC275" s="396">
        <v>3.3517303294481415</v>
      </c>
      <c r="AD275" s="396">
        <v>0.27398447809724208</v>
      </c>
      <c r="AE275" s="396">
        <v>3.9647348748909939</v>
      </c>
      <c r="AF275" s="396">
        <v>0.87180410607576764</v>
      </c>
      <c r="AG275" s="396">
        <v>564.81830573359241</v>
      </c>
      <c r="AH275" s="396">
        <v>6.8316850826058797</v>
      </c>
      <c r="AI275" s="396">
        <v>4.3980162988312404E-3</v>
      </c>
      <c r="AJ275" s="396">
        <v>0.25058534651933917</v>
      </c>
      <c r="AK275" s="396">
        <v>0.44704668271415177</v>
      </c>
      <c r="AL275" s="396">
        <v>0</v>
      </c>
      <c r="AM275" s="396">
        <v>0</v>
      </c>
      <c r="AN275" s="396">
        <v>0</v>
      </c>
      <c r="AO275" s="396">
        <v>0</v>
      </c>
      <c r="AP275" s="396">
        <v>0</v>
      </c>
      <c r="AQ275" s="396">
        <v>581.09711391055123</v>
      </c>
      <c r="AR275" s="396">
        <v>12.131499626000725</v>
      </c>
      <c r="AS275" s="396">
        <v>9.349315322120761E-3</v>
      </c>
      <c r="AT275" s="396">
        <v>0.7303731846223348</v>
      </c>
      <c r="AU275" s="396">
        <v>0.45963992386707847</v>
      </c>
      <c r="AV275" s="396">
        <v>850.92960432226289</v>
      </c>
      <c r="AW275" s="396">
        <v>3.4085889083108216</v>
      </c>
      <c r="AX275" s="396">
        <v>0.26948116955347207</v>
      </c>
      <c r="AY275" s="396">
        <v>3.8764579691720957</v>
      </c>
      <c r="AZ275" s="396">
        <v>0.8541951374543143</v>
      </c>
      <c r="BA275" s="396">
        <v>549.91405894545267</v>
      </c>
      <c r="BB275" s="396">
        <v>6.214532463812076</v>
      </c>
      <c r="BC275" s="396">
        <v>4.1093136511467232E-3</v>
      </c>
      <c r="BD275" s="396">
        <v>0.23443708609271519</v>
      </c>
      <c r="BE275" s="396">
        <v>0.42484117756095918</v>
      </c>
      <c r="BF275" s="396">
        <v>0</v>
      </c>
      <c r="BG275" s="396">
        <v>0</v>
      </c>
      <c r="BH275" s="396">
        <v>0</v>
      </c>
      <c r="BI275" s="396">
        <v>0</v>
      </c>
      <c r="BJ275" s="396">
        <v>0</v>
      </c>
      <c r="BK275" s="396">
        <v>1149.3023541705084</v>
      </c>
      <c r="BL275" s="396">
        <v>30.302569303583503</v>
      </c>
      <c r="BM275" s="396">
        <v>6.8473400331919593E-2</v>
      </c>
      <c r="BN275" s="396">
        <v>1.7509680988382814</v>
      </c>
      <c r="BO275" s="396">
        <v>0.90577171307394444</v>
      </c>
      <c r="BP275" s="396">
        <v>1713.4585885886847</v>
      </c>
      <c r="BQ275" s="396">
        <v>3.8041079966311098</v>
      </c>
      <c r="BR275" s="396">
        <v>0.72136042962958224</v>
      </c>
      <c r="BS275" s="396">
        <v>9.2006251020754544</v>
      </c>
      <c r="BT275" s="396">
        <v>1.0936676391188367</v>
      </c>
      <c r="BU275" s="396">
        <v>1833.9183777625517</v>
      </c>
      <c r="BV275" s="396">
        <v>3.6499137000861994</v>
      </c>
      <c r="BW275" s="396">
        <v>1.1352246309397747E-2</v>
      </c>
      <c r="BX275" s="396">
        <v>8.9554595997854047</v>
      </c>
      <c r="BY275" s="396">
        <v>0.4054227289258423</v>
      </c>
      <c r="BZ275" s="396">
        <v>0</v>
      </c>
      <c r="CA275" s="396">
        <v>0</v>
      </c>
      <c r="CB275" s="396">
        <v>0</v>
      </c>
      <c r="CC275" s="396">
        <v>0</v>
      </c>
      <c r="CD275" s="396">
        <v>0</v>
      </c>
      <c r="CE275" s="396">
        <v>1105.6222113675638</v>
      </c>
      <c r="CF275" s="396">
        <v>28.314075436227288</v>
      </c>
      <c r="CG275" s="396">
        <v>6.0997524864236957E-2</v>
      </c>
      <c r="CH275" s="396">
        <v>1.6910143951925722</v>
      </c>
      <c r="CI275" s="396">
        <v>0.82910480537551867</v>
      </c>
      <c r="CJ275" s="396">
        <v>1625.4704714979814</v>
      </c>
      <c r="CK275" s="396">
        <v>4.0744799151440496</v>
      </c>
      <c r="CL275" s="396">
        <v>0.43832631903099983</v>
      </c>
      <c r="CM275" s="396">
        <v>9.7976117155957034</v>
      </c>
      <c r="CN275" s="396">
        <v>1.1438103058920142</v>
      </c>
      <c r="CO275" s="396">
        <v>1724.8345561596632</v>
      </c>
      <c r="CP275" s="396">
        <v>3.3571171712726162</v>
      </c>
      <c r="CQ275" s="396">
        <v>1.1558580269111244E-2</v>
      </c>
      <c r="CR275" s="396">
        <v>8.8208376047274264</v>
      </c>
      <c r="CS275" s="396">
        <v>0.35214177986979178</v>
      </c>
      <c r="CT275" s="396">
        <v>0</v>
      </c>
      <c r="CU275" s="396">
        <v>0</v>
      </c>
      <c r="CV275" s="396">
        <v>0</v>
      </c>
      <c r="CW275" s="396">
        <v>0</v>
      </c>
      <c r="CX275" s="396">
        <v>0</v>
      </c>
      <c r="CY275" s="396">
        <v>1058.1475728471166</v>
      </c>
      <c r="CZ275" s="396">
        <v>30.681221180355067</v>
      </c>
      <c r="DA275" s="396">
        <v>4.1464505582980239E-2</v>
      </c>
      <c r="DB275" s="396">
        <v>1.721103096053284</v>
      </c>
      <c r="DC275" s="396">
        <v>0.95952440978180409</v>
      </c>
      <c r="DD275" s="396">
        <v>1267.5090730737115</v>
      </c>
      <c r="DE275" s="396">
        <v>3.8892206749880422</v>
      </c>
      <c r="DF275" s="396">
        <v>0.50229292719111684</v>
      </c>
      <c r="DG275" s="396">
        <v>7.4288949361034025</v>
      </c>
      <c r="DH275" s="396">
        <v>1.1280039778300828</v>
      </c>
      <c r="DI275" s="396">
        <v>1493.6829797963785</v>
      </c>
      <c r="DJ275" s="396">
        <v>3.157794060333655</v>
      </c>
      <c r="DK275" s="396">
        <v>1.1740113768761566E-2</v>
      </c>
      <c r="DL275" s="396">
        <v>7.9503210423108905</v>
      </c>
      <c r="DM275" s="396">
        <v>0.32679007812012517</v>
      </c>
      <c r="DN275" s="396">
        <v>0</v>
      </c>
      <c r="DO275" s="396">
        <v>0</v>
      </c>
      <c r="DP275" s="396">
        <v>0</v>
      </c>
      <c r="DQ275" s="396">
        <v>0</v>
      </c>
      <c r="DR275" s="396">
        <v>0</v>
      </c>
      <c r="DS275" s="396">
        <v>1582.730923694779</v>
      </c>
      <c r="DT275" s="396">
        <v>25.348201315901907</v>
      </c>
      <c r="DU275" s="396">
        <v>2.8830214474920957E-2</v>
      </c>
      <c r="DV275" s="396">
        <v>2.0157224643253864</v>
      </c>
      <c r="DW275" s="396">
        <v>0.99315560112791579</v>
      </c>
      <c r="DX275" s="396">
        <v>1843.668379084289</v>
      </c>
      <c r="DY275" s="396">
        <v>3.8223179331061639</v>
      </c>
      <c r="DZ275" s="396">
        <v>0.7993011952329061</v>
      </c>
      <c r="EA275" s="396">
        <v>10.359492386372155</v>
      </c>
      <c r="EB275" s="396">
        <v>1.1557089235984985</v>
      </c>
      <c r="EC275" s="396">
        <v>2669.3194937957473</v>
      </c>
      <c r="ED275" s="396">
        <v>46.575947451604584</v>
      </c>
      <c r="EE275" s="396">
        <v>1.0122000156927803E-2</v>
      </c>
      <c r="EF275" s="396">
        <v>1.5304204544180779</v>
      </c>
      <c r="EG275" s="396">
        <v>1.3015367715467479</v>
      </c>
      <c r="EH275" s="396">
        <v>0</v>
      </c>
      <c r="EI275" s="396">
        <v>0</v>
      </c>
      <c r="EJ275" s="396">
        <v>0</v>
      </c>
      <c r="EK275" s="396">
        <v>0</v>
      </c>
      <c r="EL275" s="396">
        <v>0</v>
      </c>
      <c r="EM275" s="396">
        <v>939.37919827773578</v>
      </c>
      <c r="EN275" s="396">
        <v>29.654408644441457</v>
      </c>
      <c r="EO275" s="396">
        <v>3.3104370866410673E-2</v>
      </c>
      <c r="EP275" s="396">
        <v>1.9816957678255378</v>
      </c>
      <c r="EQ275" s="396">
        <v>1.1315296479915544</v>
      </c>
      <c r="ER275" s="396">
        <v>1269.6186731733324</v>
      </c>
      <c r="ES275" s="396">
        <v>3.9128930398499095</v>
      </c>
      <c r="ET275" s="396">
        <v>0.49808285746506592</v>
      </c>
      <c r="EU275" s="396">
        <v>6.6352482545801248</v>
      </c>
      <c r="EV275" s="396">
        <v>1.191584820742047</v>
      </c>
      <c r="EW275" s="396">
        <v>1845.5226224778273</v>
      </c>
      <c r="EX275" s="396">
        <v>4.0094158526039019</v>
      </c>
      <c r="EY275" s="396">
        <v>1.2965489426555963E-2</v>
      </c>
      <c r="EZ275" s="396">
        <v>9.0198865288932488</v>
      </c>
      <c r="FA275" s="396">
        <v>0.43237688229796445</v>
      </c>
      <c r="FB275" s="396">
        <v>0</v>
      </c>
      <c r="FC275" s="396">
        <v>0</v>
      </c>
      <c r="FD275" s="396">
        <v>0</v>
      </c>
      <c r="FE275" s="396">
        <v>0</v>
      </c>
      <c r="FF275" s="396">
        <v>0</v>
      </c>
      <c r="FG275" s="396">
        <v>844.15171198704786</v>
      </c>
      <c r="FH275" s="396">
        <v>13.858231585235721</v>
      </c>
      <c r="FI275" s="396">
        <v>2.5011417575924177E-2</v>
      </c>
      <c r="FJ275" s="396">
        <v>1.4411037062209013</v>
      </c>
      <c r="FK275" s="396">
        <v>0.78481170198719941</v>
      </c>
      <c r="FL275" s="396">
        <v>1170.5280309588063</v>
      </c>
      <c r="FM275" s="396">
        <v>3.3993584194714601</v>
      </c>
      <c r="FN275" s="396">
        <v>0.4633074360630432</v>
      </c>
      <c r="FO275" s="396">
        <v>6.0339657126930568</v>
      </c>
      <c r="FP275" s="396">
        <v>0.97519704347686265</v>
      </c>
      <c r="FQ275" s="396">
        <v>1589.8925838668995</v>
      </c>
      <c r="FR275" s="396">
        <v>3.0153399483396934</v>
      </c>
      <c r="FS275" s="396">
        <v>1.1284735879583636E-2</v>
      </c>
      <c r="FT275" s="396">
        <v>8.6060232511931751</v>
      </c>
      <c r="FU275" s="396">
        <v>0.35087080462753084</v>
      </c>
      <c r="FV275" s="396">
        <v>0</v>
      </c>
      <c r="FW275" s="396">
        <v>0</v>
      </c>
      <c r="FX275" s="396">
        <v>0</v>
      </c>
      <c r="FY275" s="396">
        <v>0</v>
      </c>
      <c r="FZ275" s="396">
        <v>0</v>
      </c>
      <c r="GA275" s="396">
        <v>1856.2150697443994</v>
      </c>
      <c r="GB275" s="396">
        <v>3.3300822070502996</v>
      </c>
      <c r="GC275" s="396">
        <v>0.69872122366200673</v>
      </c>
      <c r="GD275" s="396">
        <v>10.074337260487463</v>
      </c>
      <c r="GE275" s="396">
        <v>0.96616506432585569</v>
      </c>
      <c r="GF275" s="396">
        <v>2371.257795015968</v>
      </c>
      <c r="GG275" s="396">
        <v>44.788987026226295</v>
      </c>
      <c r="GH275" s="396">
        <v>8.5562993286131834E-3</v>
      </c>
      <c r="GI275" s="396">
        <v>1.0384215640206751</v>
      </c>
      <c r="GJ275" s="396">
        <v>0.98070857989343818</v>
      </c>
      <c r="GK275" s="396">
        <v>0</v>
      </c>
      <c r="GL275" s="396">
        <v>0</v>
      </c>
      <c r="GM275" s="396">
        <v>0</v>
      </c>
      <c r="GN275" s="396">
        <v>0</v>
      </c>
      <c r="GO275" s="396">
        <v>0</v>
      </c>
      <c r="GP275" s="396">
        <v>1496.13000488281</v>
      </c>
      <c r="GQ275" s="396">
        <v>34.728900000000003</v>
      </c>
      <c r="GR275" s="396">
        <v>8.2000000000000007E-3</v>
      </c>
      <c r="GS275" s="396">
        <v>3.5564</v>
      </c>
      <c r="GT275" s="396">
        <v>1.0623</v>
      </c>
      <c r="GU275" s="396">
        <v>1911.1083654887946</v>
      </c>
      <c r="GV275" s="396">
        <v>2.9379858959493625</v>
      </c>
      <c r="GW275" s="396">
        <v>0.6869879678382026</v>
      </c>
      <c r="GX275" s="396">
        <v>10.4519188731966</v>
      </c>
      <c r="GY275" s="396">
        <v>1.0623</v>
      </c>
      <c r="GZ275" s="396">
        <v>0</v>
      </c>
      <c r="HA275" s="396">
        <v>0</v>
      </c>
      <c r="HB275" s="396">
        <v>0</v>
      </c>
      <c r="HC275" s="396">
        <v>0</v>
      </c>
      <c r="HD275" s="487">
        <v>0</v>
      </c>
    </row>
    <row r="276" spans="2:212" x14ac:dyDescent="0.35">
      <c r="B276" s="396">
        <v>2006</v>
      </c>
      <c r="C276" s="396">
        <v>400.62204279854308</v>
      </c>
      <c r="D276" s="396">
        <v>4.9868396728404623</v>
      </c>
      <c r="E276" s="396">
        <v>1.7017542106551684E-3</v>
      </c>
      <c r="F276" s="396">
        <v>0.13422534437188666</v>
      </c>
      <c r="G276" s="396">
        <v>0.21497199558324631</v>
      </c>
      <c r="H276" s="396">
        <v>435.26438652474673</v>
      </c>
      <c r="I276" s="396">
        <v>4.5901955325209345</v>
      </c>
      <c r="J276" s="396">
        <v>1.4807287316442866E-3</v>
      </c>
      <c r="K276" s="396">
        <v>0.19059030975378177</v>
      </c>
      <c r="L276" s="396">
        <v>0.21517358062236311</v>
      </c>
      <c r="M276" s="396">
        <v>392.99314308920231</v>
      </c>
      <c r="N276" s="396">
        <v>4.9625681395748398</v>
      </c>
      <c r="O276" s="396">
        <v>1.8080689752120332E-3</v>
      </c>
      <c r="P276" s="396">
        <v>0.13708745294659733</v>
      </c>
      <c r="Q276" s="396">
        <v>0.25158224388110523</v>
      </c>
      <c r="R276" s="396">
        <v>0</v>
      </c>
      <c r="S276" s="396">
        <v>0</v>
      </c>
      <c r="T276" s="396">
        <v>0</v>
      </c>
      <c r="U276" s="396">
        <v>0</v>
      </c>
      <c r="V276" s="396">
        <v>0</v>
      </c>
      <c r="W276" s="396">
        <v>578.14413877578045</v>
      </c>
      <c r="X276" s="396">
        <v>6.3549130050272167</v>
      </c>
      <c r="Y276" s="396">
        <v>3.6350278317703088E-3</v>
      </c>
      <c r="Z276" s="396">
        <v>0.25268882803891252</v>
      </c>
      <c r="AA276" s="396">
        <v>0.23003561142403134</v>
      </c>
      <c r="AB276" s="396">
        <v>865.05595090891359</v>
      </c>
      <c r="AC276" s="396">
        <v>3.2829458756407033</v>
      </c>
      <c r="AD276" s="396">
        <v>0.27779869986608724</v>
      </c>
      <c r="AE276" s="396">
        <v>4.0165313001852194</v>
      </c>
      <c r="AF276" s="396">
        <v>0.88139536076920311</v>
      </c>
      <c r="AG276" s="396">
        <v>565.15820456217807</v>
      </c>
      <c r="AH276" s="396">
        <v>5.5843663327107036</v>
      </c>
      <c r="AI276" s="396">
        <v>3.348202864096904E-3</v>
      </c>
      <c r="AJ276" s="396">
        <v>0.1975926869304353</v>
      </c>
      <c r="AK276" s="396">
        <v>0.25251372615611029</v>
      </c>
      <c r="AL276" s="396">
        <v>0</v>
      </c>
      <c r="AM276" s="396">
        <v>0</v>
      </c>
      <c r="AN276" s="396">
        <v>0</v>
      </c>
      <c r="AO276" s="396">
        <v>0</v>
      </c>
      <c r="AP276" s="396">
        <v>0</v>
      </c>
      <c r="AQ276" s="396">
        <v>585.7840544231077</v>
      </c>
      <c r="AR276" s="396">
        <v>12.595984696576412</v>
      </c>
      <c r="AS276" s="396">
        <v>7.9145394825868194E-3</v>
      </c>
      <c r="AT276" s="396">
        <v>0.7968236784804833</v>
      </c>
      <c r="AU276" s="396">
        <v>0.3388834897710637</v>
      </c>
      <c r="AV276" s="396">
        <v>872.59935243502173</v>
      </c>
      <c r="AW276" s="396">
        <v>3.2603067062893638</v>
      </c>
      <c r="AX276" s="396">
        <v>0.28472123658298593</v>
      </c>
      <c r="AY276" s="396">
        <v>4.0810786835802357</v>
      </c>
      <c r="AZ276" s="396">
        <v>0.8903907566752417</v>
      </c>
      <c r="BA276" s="396">
        <v>550.24901385399278</v>
      </c>
      <c r="BB276" s="396">
        <v>5.0806178356572493</v>
      </c>
      <c r="BC276" s="396">
        <v>3.1280998868409445E-3</v>
      </c>
      <c r="BD276" s="396">
        <v>0.18499204050710599</v>
      </c>
      <c r="BE276" s="396">
        <v>0.23956667114188354</v>
      </c>
      <c r="BF276" s="396">
        <v>0</v>
      </c>
      <c r="BG276" s="396">
        <v>0</v>
      </c>
      <c r="BH276" s="396">
        <v>0</v>
      </c>
      <c r="BI276" s="396">
        <v>0</v>
      </c>
      <c r="BJ276" s="396">
        <v>0</v>
      </c>
      <c r="BK276" s="396">
        <v>1151.2728942175686</v>
      </c>
      <c r="BL276" s="396">
        <v>30.309670641104308</v>
      </c>
      <c r="BM276" s="396">
        <v>5.1814541939072353E-2</v>
      </c>
      <c r="BN276" s="396">
        <v>1.7508552913287805</v>
      </c>
      <c r="BO276" s="396">
        <v>0.81329707633833781</v>
      </c>
      <c r="BP276" s="396">
        <v>1700.1046423135465</v>
      </c>
      <c r="BQ276" s="396">
        <v>3.892418188736682</v>
      </c>
      <c r="BR276" s="396">
        <v>0.69306506849315064</v>
      </c>
      <c r="BS276" s="396">
        <v>9.0543759512937587</v>
      </c>
      <c r="BT276" s="396">
        <v>1.1168569254185694</v>
      </c>
      <c r="BU276" s="396">
        <v>1833.9119855188583</v>
      </c>
      <c r="BV276" s="396">
        <v>3.6498939961950736</v>
      </c>
      <c r="BW276" s="396">
        <v>8.767487330649441E-3</v>
      </c>
      <c r="BX276" s="396">
        <v>8.9554256473156162</v>
      </c>
      <c r="BY276" s="396">
        <v>0.4054225150103366</v>
      </c>
      <c r="BZ276" s="396">
        <v>0</v>
      </c>
      <c r="CA276" s="396">
        <v>0</v>
      </c>
      <c r="CB276" s="396">
        <v>0</v>
      </c>
      <c r="CC276" s="396">
        <v>0</v>
      </c>
      <c r="CD276" s="396">
        <v>0</v>
      </c>
      <c r="CE276" s="396">
        <v>1107.5059329758492</v>
      </c>
      <c r="CF276" s="396">
        <v>28.321440009197136</v>
      </c>
      <c r="CG276" s="396">
        <v>4.6168406185075991E-2</v>
      </c>
      <c r="CH276" s="396">
        <v>1.6909904990269098</v>
      </c>
      <c r="CI276" s="396">
        <v>0.73210458460957328</v>
      </c>
      <c r="CJ276" s="396">
        <v>1610.2459741638647</v>
      </c>
      <c r="CK276" s="396">
        <v>4.0123517961422754</v>
      </c>
      <c r="CL276" s="396">
        <v>0.46353742700407008</v>
      </c>
      <c r="CM276" s="396">
        <v>9.4039550522031501</v>
      </c>
      <c r="CN276" s="396">
        <v>1.1258007432312866</v>
      </c>
      <c r="CO276" s="396">
        <v>1724.839572807495</v>
      </c>
      <c r="CP276" s="396">
        <v>3.3571258807203699</v>
      </c>
      <c r="CQ276" s="396">
        <v>8.9183258837870778E-3</v>
      </c>
      <c r="CR276" s="396">
        <v>8.8208505516242059</v>
      </c>
      <c r="CS276" s="396">
        <v>0.35214247928055015</v>
      </c>
      <c r="CT276" s="396">
        <v>0</v>
      </c>
      <c r="CU276" s="396">
        <v>0</v>
      </c>
      <c r="CV276" s="396">
        <v>0</v>
      </c>
      <c r="CW276" s="396">
        <v>0</v>
      </c>
      <c r="CX276" s="396">
        <v>0</v>
      </c>
      <c r="CY276" s="396">
        <v>1072.752606873237</v>
      </c>
      <c r="CZ276" s="396">
        <v>30.726269744280863</v>
      </c>
      <c r="DA276" s="396">
        <v>3.0122777162305693E-2</v>
      </c>
      <c r="DB276" s="396">
        <v>1.7330607489977956</v>
      </c>
      <c r="DC276" s="396">
        <v>0.81359114633895624</v>
      </c>
      <c r="DD276" s="396">
        <v>1268.7715122452075</v>
      </c>
      <c r="DE276" s="396">
        <v>3.8833934217741843</v>
      </c>
      <c r="DF276" s="396">
        <v>0.50260072106129017</v>
      </c>
      <c r="DG276" s="396">
        <v>7.4217275135053145</v>
      </c>
      <c r="DH276" s="396">
        <v>1.1262627323322483</v>
      </c>
      <c r="DI276" s="396">
        <v>1493.6831093586545</v>
      </c>
      <c r="DJ276" s="396">
        <v>3.157792620011981</v>
      </c>
      <c r="DK276" s="396">
        <v>9.4248187190973057E-3</v>
      </c>
      <c r="DL276" s="396">
        <v>7.9503232209436439</v>
      </c>
      <c r="DM276" s="396">
        <v>0.32679023273696162</v>
      </c>
      <c r="DN276" s="396">
        <v>0</v>
      </c>
      <c r="DO276" s="396">
        <v>0</v>
      </c>
      <c r="DP276" s="396">
        <v>0</v>
      </c>
      <c r="DQ276" s="396">
        <v>0</v>
      </c>
      <c r="DR276" s="396">
        <v>0</v>
      </c>
      <c r="DS276" s="396">
        <v>1582.6813699314641</v>
      </c>
      <c r="DT276" s="396">
        <v>25.348141108231641</v>
      </c>
      <c r="DU276" s="396">
        <v>2.1833907322402226E-2</v>
      </c>
      <c r="DV276" s="396">
        <v>2.0150004653965423</v>
      </c>
      <c r="DW276" s="396">
        <v>0.88084868733680488</v>
      </c>
      <c r="DX276" s="396">
        <v>1847.1349680818726</v>
      </c>
      <c r="DY276" s="396">
        <v>3.7999375147769108</v>
      </c>
      <c r="DZ276" s="396">
        <v>0.80504610396190091</v>
      </c>
      <c r="EA276" s="396">
        <v>10.375460195224102</v>
      </c>
      <c r="EB276" s="396">
        <v>1.1493227952848988</v>
      </c>
      <c r="EC276" s="396">
        <v>2669.3194937957473</v>
      </c>
      <c r="ED276" s="396">
        <v>46.575947451604584</v>
      </c>
      <c r="EE276" s="396">
        <v>1.0122000156927803E-2</v>
      </c>
      <c r="EF276" s="396">
        <v>1.5304204544180779</v>
      </c>
      <c r="EG276" s="396">
        <v>1.3015367715467479</v>
      </c>
      <c r="EH276" s="396">
        <v>0</v>
      </c>
      <c r="EI276" s="396">
        <v>0</v>
      </c>
      <c r="EJ276" s="396">
        <v>0</v>
      </c>
      <c r="EK276" s="396">
        <v>0</v>
      </c>
      <c r="EL276" s="396">
        <v>0</v>
      </c>
      <c r="EM276" s="396">
        <v>925.40115610122427</v>
      </c>
      <c r="EN276" s="396">
        <v>31.666873359376616</v>
      </c>
      <c r="EO276" s="396">
        <v>2.6467242650351719E-2</v>
      </c>
      <c r="EP276" s="396">
        <v>1.9674700123326652</v>
      </c>
      <c r="EQ276" s="396">
        <v>0.90275107996940951</v>
      </c>
      <c r="ER276" s="396">
        <v>1274.0859661882885</v>
      </c>
      <c r="ES276" s="396">
        <v>3.8763371236983555</v>
      </c>
      <c r="ET276" s="396">
        <v>0.49046495538486107</v>
      </c>
      <c r="EU276" s="396">
        <v>6.5379893917085035</v>
      </c>
      <c r="EV276" s="396">
        <v>1.180944102464033</v>
      </c>
      <c r="EW276" s="396">
        <v>1845.5189396561309</v>
      </c>
      <c r="EX276" s="396">
        <v>4.0094095240492411</v>
      </c>
      <c r="EY276" s="396">
        <v>1.0152763182457928E-2</v>
      </c>
      <c r="EZ276" s="396">
        <v>9.0198866913755822</v>
      </c>
      <c r="FA276" s="396">
        <v>0.43237664944593718</v>
      </c>
      <c r="FB276" s="396">
        <v>0</v>
      </c>
      <c r="FC276" s="396">
        <v>0</v>
      </c>
      <c r="FD276" s="396">
        <v>0</v>
      </c>
      <c r="FE276" s="396">
        <v>0</v>
      </c>
      <c r="FF276" s="396">
        <v>0</v>
      </c>
      <c r="FG276" s="396">
        <v>831.68406483242143</v>
      </c>
      <c r="FH276" s="396">
        <v>14.022274826341729</v>
      </c>
      <c r="FI276" s="396">
        <v>1.99904277749751E-2</v>
      </c>
      <c r="FJ276" s="396">
        <v>1.4304461432987958</v>
      </c>
      <c r="FK276" s="396">
        <v>0.57051948723918922</v>
      </c>
      <c r="FL276" s="396">
        <v>1175.4430080416723</v>
      </c>
      <c r="FM276" s="396">
        <v>3.3879603062130204</v>
      </c>
      <c r="FN276" s="396">
        <v>0.45624041419024575</v>
      </c>
      <c r="FO276" s="396">
        <v>5.9347174090794796</v>
      </c>
      <c r="FP276" s="396">
        <v>0.9655918347635376</v>
      </c>
      <c r="FQ276" s="396">
        <v>1589.8948529122199</v>
      </c>
      <c r="FR276" s="396">
        <v>3.0153428110109086</v>
      </c>
      <c r="FS276" s="396">
        <v>8.5887843106367892E-3</v>
      </c>
      <c r="FT276" s="396">
        <v>8.6060331587445358</v>
      </c>
      <c r="FU276" s="396">
        <v>0.35087110621037298</v>
      </c>
      <c r="FV276" s="396">
        <v>0</v>
      </c>
      <c r="FW276" s="396">
        <v>0</v>
      </c>
      <c r="FX276" s="396">
        <v>0</v>
      </c>
      <c r="FY276" s="396">
        <v>0</v>
      </c>
      <c r="FZ276" s="396">
        <v>0</v>
      </c>
      <c r="GA276" s="396">
        <v>1857.9131516180826</v>
      </c>
      <c r="GB276" s="396">
        <v>3.3221965457397147</v>
      </c>
      <c r="GC276" s="396">
        <v>0.70110532616866661</v>
      </c>
      <c r="GD276" s="396">
        <v>10.079795083108278</v>
      </c>
      <c r="GE276" s="396">
        <v>0.96418409109892256</v>
      </c>
      <c r="GF276" s="396">
        <v>2371.257795015968</v>
      </c>
      <c r="GG276" s="396">
        <v>44.788987026226295</v>
      </c>
      <c r="GH276" s="396">
        <v>8.5562993286131834E-3</v>
      </c>
      <c r="GI276" s="396">
        <v>1.0384215640206751</v>
      </c>
      <c r="GJ276" s="396">
        <v>0.98070857989343818</v>
      </c>
      <c r="GK276" s="396">
        <v>0</v>
      </c>
      <c r="GL276" s="396">
        <v>0</v>
      </c>
      <c r="GM276" s="396">
        <v>0</v>
      </c>
      <c r="GN276" s="396">
        <v>0</v>
      </c>
      <c r="GO276" s="396">
        <v>0</v>
      </c>
      <c r="GP276" s="396">
        <v>1496.13000488281</v>
      </c>
      <c r="GQ276" s="396">
        <v>34.2286</v>
      </c>
      <c r="GR276" s="396">
        <v>8.2000000000000007E-3</v>
      </c>
      <c r="GS276" s="396">
        <v>3.5405000000000002</v>
      </c>
      <c r="GT276" s="396">
        <v>1.0327</v>
      </c>
      <c r="GU276" s="396">
        <v>1911.1079558192716</v>
      </c>
      <c r="GV276" s="396">
        <v>2.937981078213042</v>
      </c>
      <c r="GW276" s="396">
        <v>0.68698940320145874</v>
      </c>
      <c r="GX276" s="396">
        <v>10.451895915225611</v>
      </c>
      <c r="GY276" s="396">
        <v>1.0327</v>
      </c>
      <c r="GZ276" s="396">
        <v>0</v>
      </c>
      <c r="HA276" s="396">
        <v>0</v>
      </c>
      <c r="HB276" s="396">
        <v>0</v>
      </c>
      <c r="HC276" s="396">
        <v>0</v>
      </c>
      <c r="HD276" s="487">
        <v>0</v>
      </c>
    </row>
    <row r="277" spans="2:212" x14ac:dyDescent="0.35">
      <c r="B277" s="396">
        <v>2007</v>
      </c>
      <c r="C277" s="396">
        <v>400.8423284085747</v>
      </c>
      <c r="D277" s="396">
        <v>4.9752752601181083</v>
      </c>
      <c r="E277" s="396">
        <v>1.7089619070280559E-3</v>
      </c>
      <c r="F277" s="396">
        <v>0.10935084038157868</v>
      </c>
      <c r="G277" s="396">
        <v>0.21056566224664172</v>
      </c>
      <c r="H277" s="396">
        <v>438.13075667751536</v>
      </c>
      <c r="I277" s="396">
        <v>4.684789924488987</v>
      </c>
      <c r="J277" s="396">
        <v>1.3728068153529842E-3</v>
      </c>
      <c r="K277" s="396">
        <v>0.14877144780151391</v>
      </c>
      <c r="L277" s="396">
        <v>0.10291256765104509</v>
      </c>
      <c r="M277" s="396">
        <v>393.18261675078259</v>
      </c>
      <c r="N277" s="396">
        <v>4.9511914648949089</v>
      </c>
      <c r="O277" s="396">
        <v>1.8161294959432694E-3</v>
      </c>
      <c r="P277" s="396">
        <v>0.1117094167252284</v>
      </c>
      <c r="Q277" s="396">
        <v>0.2463321727464384</v>
      </c>
      <c r="R277" s="396">
        <v>0</v>
      </c>
      <c r="S277" s="396">
        <v>0</v>
      </c>
      <c r="T277" s="396">
        <v>0</v>
      </c>
      <c r="U277" s="396">
        <v>0</v>
      </c>
      <c r="V277" s="396">
        <v>0</v>
      </c>
      <c r="W277" s="396">
        <v>577.81475955468841</v>
      </c>
      <c r="X277" s="396">
        <v>6.0903689447245055</v>
      </c>
      <c r="Y277" s="396">
        <v>3.4852563366852361E-3</v>
      </c>
      <c r="Z277" s="396">
        <v>0.21928020905984869</v>
      </c>
      <c r="AA277" s="396">
        <v>0.2210278187323981</v>
      </c>
      <c r="AB277" s="396">
        <v>864.58307752756559</v>
      </c>
      <c r="AC277" s="396">
        <v>0.78155006016551654</v>
      </c>
      <c r="AD277" s="396">
        <v>1.3410740158640504E-2</v>
      </c>
      <c r="AE277" s="396">
        <v>2.3532237666069107</v>
      </c>
      <c r="AF277" s="396">
        <v>0.11230185285233664</v>
      </c>
      <c r="AG277" s="396">
        <v>565.40926827855321</v>
      </c>
      <c r="AH277" s="396">
        <v>5.5688293201689953</v>
      </c>
      <c r="AI277" s="396">
        <v>3.3653476121706673E-3</v>
      </c>
      <c r="AJ277" s="396">
        <v>0.18362761366034519</v>
      </c>
      <c r="AK277" s="396">
        <v>0.2482506631135093</v>
      </c>
      <c r="AL277" s="396">
        <v>0</v>
      </c>
      <c r="AM277" s="396">
        <v>0</v>
      </c>
      <c r="AN277" s="396">
        <v>0</v>
      </c>
      <c r="AO277" s="396">
        <v>0</v>
      </c>
      <c r="AP277" s="396">
        <v>0</v>
      </c>
      <c r="AQ277" s="396">
        <v>580.45488098551505</v>
      </c>
      <c r="AR277" s="396">
        <v>10.937110495298716</v>
      </c>
      <c r="AS277" s="396">
        <v>6.8079068698040819E-3</v>
      </c>
      <c r="AT277" s="396">
        <v>0.64915836731730336</v>
      </c>
      <c r="AU277" s="396">
        <v>0.30529726393746148</v>
      </c>
      <c r="AV277" s="396">
        <v>872.13946012229269</v>
      </c>
      <c r="AW277" s="396">
        <v>0.66850050541037664</v>
      </c>
      <c r="AX277" s="396">
        <v>1.3742273849569985E-2</v>
      </c>
      <c r="AY277" s="396">
        <v>2.3897708253931431</v>
      </c>
      <c r="AZ277" s="396">
        <v>0.10945117404344873</v>
      </c>
      <c r="BA277" s="396">
        <v>550.47204263261824</v>
      </c>
      <c r="BB277" s="396">
        <v>5.0663835312576078</v>
      </c>
      <c r="BC277" s="396">
        <v>3.1438039332377524E-3</v>
      </c>
      <c r="BD277" s="396">
        <v>0.17203668136446018</v>
      </c>
      <c r="BE277" s="396">
        <v>0.23551491871128302</v>
      </c>
      <c r="BF277" s="396">
        <v>0</v>
      </c>
      <c r="BG277" s="396">
        <v>0</v>
      </c>
      <c r="BH277" s="396">
        <v>0</v>
      </c>
      <c r="BI277" s="396">
        <v>0</v>
      </c>
      <c r="BJ277" s="396">
        <v>0</v>
      </c>
      <c r="BK277" s="396">
        <v>1147.979899948404</v>
      </c>
      <c r="BL277" s="396">
        <v>30.294883011418445</v>
      </c>
      <c r="BM277" s="396">
        <v>5.2008547008547013E-2</v>
      </c>
      <c r="BN277" s="396">
        <v>1.7481380532561634</v>
      </c>
      <c r="BO277" s="396">
        <v>0.8103562375215918</v>
      </c>
      <c r="BP277" s="396">
        <v>1755.6247008137864</v>
      </c>
      <c r="BQ277" s="396">
        <v>1.2320573753675716</v>
      </c>
      <c r="BR277" s="396">
        <v>2.9780568282842101E-2</v>
      </c>
      <c r="BS277" s="396">
        <v>6.7198420296792722</v>
      </c>
      <c r="BT277" s="396">
        <v>0.21885129590371333</v>
      </c>
      <c r="BU277" s="396">
        <v>1689.9272587903858</v>
      </c>
      <c r="BV277" s="396">
        <v>5.0820659925954894</v>
      </c>
      <c r="BW277" s="396">
        <v>4.3896218326359496E-3</v>
      </c>
      <c r="BX277" s="396">
        <v>4.5395295726009426</v>
      </c>
      <c r="BY277" s="396">
        <v>0.17339592001232768</v>
      </c>
      <c r="BZ277" s="396">
        <v>0</v>
      </c>
      <c r="CA277" s="396">
        <v>0</v>
      </c>
      <c r="CB277" s="396">
        <v>0</v>
      </c>
      <c r="CC277" s="396">
        <v>0</v>
      </c>
      <c r="CD277" s="396">
        <v>0</v>
      </c>
      <c r="CE277" s="396">
        <v>1104.5044244730361</v>
      </c>
      <c r="CF277" s="396">
        <v>28.309224520414762</v>
      </c>
      <c r="CG277" s="396">
        <v>4.6313843936769274E-2</v>
      </c>
      <c r="CH277" s="396">
        <v>1.6881351080578217</v>
      </c>
      <c r="CI277" s="396">
        <v>0.72849331023625163</v>
      </c>
      <c r="CJ277" s="396">
        <v>1663.2076216840371</v>
      </c>
      <c r="CK277" s="396">
        <v>1.3590285587479736</v>
      </c>
      <c r="CL277" s="396">
        <v>2.7925927040353855E-2</v>
      </c>
      <c r="CM277" s="396">
        <v>5.2736456879788474</v>
      </c>
      <c r="CN277" s="396">
        <v>0.23064169735174311</v>
      </c>
      <c r="CO277" s="396">
        <v>1599.8122408532611</v>
      </c>
      <c r="CP277" s="396">
        <v>4.6673968411262079</v>
      </c>
      <c r="CQ277" s="396">
        <v>4.4801244773602453E-3</v>
      </c>
      <c r="CR277" s="396">
        <v>4.471275458314862</v>
      </c>
      <c r="CS277" s="396">
        <v>0.15068366930051022</v>
      </c>
      <c r="CT277" s="396">
        <v>0</v>
      </c>
      <c r="CU277" s="396">
        <v>0</v>
      </c>
      <c r="CV277" s="396">
        <v>0</v>
      </c>
      <c r="CW277" s="396">
        <v>0</v>
      </c>
      <c r="CX277" s="396">
        <v>0</v>
      </c>
      <c r="CY277" s="396">
        <v>1002.8442854573296</v>
      </c>
      <c r="CZ277" s="396">
        <v>30.504961529862477</v>
      </c>
      <c r="DA277" s="396">
        <v>3.6415258952691057E-2</v>
      </c>
      <c r="DB277" s="396">
        <v>1.6657695624473632</v>
      </c>
      <c r="DC277" s="396">
        <v>0.77579062562512924</v>
      </c>
      <c r="DD277" s="396">
        <v>1270.5152426443346</v>
      </c>
      <c r="DE277" s="396">
        <v>1.5754973322241224</v>
      </c>
      <c r="DF277" s="396">
        <v>1.8498952533760847E-2</v>
      </c>
      <c r="DG277" s="396">
        <v>3.8524872214392412</v>
      </c>
      <c r="DH277" s="396">
        <v>0.2576806500223468</v>
      </c>
      <c r="DI277" s="396">
        <v>1378.0648613526478</v>
      </c>
      <c r="DJ277" s="396">
        <v>4.3336805091061974</v>
      </c>
      <c r="DK277" s="396">
        <v>4.0893229116899504E-3</v>
      </c>
      <c r="DL277" s="396">
        <v>4.0300322969021733</v>
      </c>
      <c r="DM277" s="396">
        <v>0.14046954727005179</v>
      </c>
      <c r="DN277" s="396">
        <v>0</v>
      </c>
      <c r="DO277" s="396">
        <v>0</v>
      </c>
      <c r="DP277" s="396">
        <v>0</v>
      </c>
      <c r="DQ277" s="396">
        <v>0</v>
      </c>
      <c r="DR277" s="396">
        <v>0</v>
      </c>
      <c r="DS277" s="396">
        <v>1662.6658952949203</v>
      </c>
      <c r="DT277" s="396">
        <v>26.257868423552168</v>
      </c>
      <c r="DU277" s="396">
        <v>2.4717859270708312E-2</v>
      </c>
      <c r="DV277" s="396">
        <v>2.1227948985847633</v>
      </c>
      <c r="DW277" s="396">
        <v>0.92869416549377881</v>
      </c>
      <c r="DX277" s="396">
        <v>1847.7553478131292</v>
      </c>
      <c r="DY277" s="396">
        <v>1.275680755171428</v>
      </c>
      <c r="DZ277" s="396">
        <v>3.1511802594685334E-2</v>
      </c>
      <c r="EA277" s="396">
        <v>7.2199582758054417</v>
      </c>
      <c r="EB277" s="396">
        <v>0.24212410210871402</v>
      </c>
      <c r="EC277" s="396">
        <v>2669.3194937957473</v>
      </c>
      <c r="ED277" s="396">
        <v>46.575947451604584</v>
      </c>
      <c r="EE277" s="396">
        <v>1.0122000156927803E-2</v>
      </c>
      <c r="EF277" s="396">
        <v>1.5304204544180779</v>
      </c>
      <c r="EG277" s="396">
        <v>1.3015367715467479</v>
      </c>
      <c r="EH277" s="396">
        <v>0</v>
      </c>
      <c r="EI277" s="396">
        <v>0</v>
      </c>
      <c r="EJ277" s="396">
        <v>0</v>
      </c>
      <c r="EK277" s="396">
        <v>0</v>
      </c>
      <c r="EL277" s="396">
        <v>0</v>
      </c>
      <c r="EM277" s="396">
        <v>949.81572084402012</v>
      </c>
      <c r="EN277" s="396">
        <v>32.547319869819169</v>
      </c>
      <c r="EO277" s="396">
        <v>2.5992068452701682E-2</v>
      </c>
      <c r="EP277" s="396">
        <v>1.987339698687415</v>
      </c>
      <c r="EQ277" s="396">
        <v>0.89569153178007188</v>
      </c>
      <c r="ER277" s="396">
        <v>1300.5607090256067</v>
      </c>
      <c r="ES277" s="396">
        <v>1.2350499125776251</v>
      </c>
      <c r="ET277" s="396">
        <v>2.1156387001197215E-2</v>
      </c>
      <c r="EU277" s="396">
        <v>4.1541217711859293</v>
      </c>
      <c r="EV277" s="396">
        <v>0.23446939355572208</v>
      </c>
      <c r="EW277" s="396">
        <v>1693.470328107122</v>
      </c>
      <c r="EX277" s="396">
        <v>5.4099560874540007</v>
      </c>
      <c r="EY277" s="396">
        <v>4.8380338312150164E-3</v>
      </c>
      <c r="EZ277" s="396">
        <v>4.5721696508643346</v>
      </c>
      <c r="FA277" s="396">
        <v>0.187362000185546</v>
      </c>
      <c r="FB277" s="396">
        <v>0</v>
      </c>
      <c r="FC277" s="396">
        <v>0</v>
      </c>
      <c r="FD277" s="396">
        <v>0</v>
      </c>
      <c r="FE277" s="396">
        <v>0</v>
      </c>
      <c r="FF277" s="396">
        <v>0</v>
      </c>
      <c r="FG277" s="396">
        <v>853.96851735919927</v>
      </c>
      <c r="FH277" s="396">
        <v>14.343080833603608</v>
      </c>
      <c r="FI277" s="396">
        <v>1.9681025184604128E-2</v>
      </c>
      <c r="FJ277" s="396">
        <v>1.448940647604106</v>
      </c>
      <c r="FK277" s="396">
        <v>0.55506973095692447</v>
      </c>
      <c r="FL277" s="396">
        <v>1196.6503549936476</v>
      </c>
      <c r="FM277" s="396">
        <v>0.83409717376528369</v>
      </c>
      <c r="FN277" s="396">
        <v>1.9571445579948547E-2</v>
      </c>
      <c r="FO277" s="396">
        <v>3.7204328948221113</v>
      </c>
      <c r="FP277" s="396">
        <v>0.15360502039838259</v>
      </c>
      <c r="FQ277" s="396">
        <v>1464.9973621200438</v>
      </c>
      <c r="FR277" s="396">
        <v>4.2871230875370321</v>
      </c>
      <c r="FS277" s="396">
        <v>4.5229225004396459E-3</v>
      </c>
      <c r="FT277" s="396">
        <v>4.3623770680302476</v>
      </c>
      <c r="FU277" s="396">
        <v>0.14961919835504511</v>
      </c>
      <c r="FV277" s="396">
        <v>0</v>
      </c>
      <c r="FW277" s="396">
        <v>0</v>
      </c>
      <c r="FX277" s="396">
        <v>0</v>
      </c>
      <c r="FY277" s="396">
        <v>0</v>
      </c>
      <c r="FZ277" s="396">
        <v>0</v>
      </c>
      <c r="GA277" s="396">
        <v>1863.3996675000376</v>
      </c>
      <c r="GB277" s="396">
        <v>1.1010191343663123</v>
      </c>
      <c r="GC277" s="396">
        <v>2.8321384236447505E-2</v>
      </c>
      <c r="GD277" s="396">
        <v>6.8697801034521451</v>
      </c>
      <c r="GE277" s="396">
        <v>0.21128787624615178</v>
      </c>
      <c r="GF277" s="396">
        <v>2371.257795015968</v>
      </c>
      <c r="GG277" s="396">
        <v>44.788987026226295</v>
      </c>
      <c r="GH277" s="396">
        <v>8.5562993286131834E-3</v>
      </c>
      <c r="GI277" s="396">
        <v>1.0384215640206751</v>
      </c>
      <c r="GJ277" s="396">
        <v>0.98070857989343818</v>
      </c>
      <c r="GK277" s="396">
        <v>0</v>
      </c>
      <c r="GL277" s="396">
        <v>0</v>
      </c>
      <c r="GM277" s="396">
        <v>0</v>
      </c>
      <c r="GN277" s="396">
        <v>0</v>
      </c>
      <c r="GO277" s="396">
        <v>0</v>
      </c>
      <c r="GP277" s="396">
        <v>1500.14001464843</v>
      </c>
      <c r="GQ277" s="396">
        <v>33.807000000000002</v>
      </c>
      <c r="GR277" s="396">
        <v>8.3000000000000001E-3</v>
      </c>
      <c r="GS277" s="396">
        <v>3.4695</v>
      </c>
      <c r="GT277" s="396">
        <v>1.0285</v>
      </c>
      <c r="GU277" s="396">
        <v>1904.2478108509572</v>
      </c>
      <c r="GV277" s="396">
        <v>1.0103856349147731</v>
      </c>
      <c r="GW277" s="396">
        <v>2.8301368064275224E-2</v>
      </c>
      <c r="GX277" s="396">
        <v>7.3856595350058676</v>
      </c>
      <c r="GY277" s="396">
        <v>1.0285</v>
      </c>
      <c r="GZ277" s="396">
        <v>0</v>
      </c>
      <c r="HA277" s="396">
        <v>0</v>
      </c>
      <c r="HB277" s="396">
        <v>0</v>
      </c>
      <c r="HC277" s="396">
        <v>0</v>
      </c>
      <c r="HD277" s="487">
        <v>0</v>
      </c>
    </row>
    <row r="278" spans="2:212" x14ac:dyDescent="0.35">
      <c r="B278" s="396">
        <v>2008</v>
      </c>
      <c r="C278" s="396">
        <v>393.66718576195774</v>
      </c>
      <c r="D278" s="396">
        <v>4.9088320355951058</v>
      </c>
      <c r="E278" s="396">
        <v>1.9045606229143492E-3</v>
      </c>
      <c r="F278" s="396">
        <v>0.10529388209121246</v>
      </c>
      <c r="G278" s="396">
        <v>0.20692947719688543</v>
      </c>
      <c r="H278" s="396">
        <v>441.32440791969702</v>
      </c>
      <c r="I278" s="396">
        <v>4.6090501636540182</v>
      </c>
      <c r="J278" s="396">
        <v>1.5049417726077255E-3</v>
      </c>
      <c r="K278" s="396">
        <v>0.14271594935406498</v>
      </c>
      <c r="L278" s="396">
        <v>0.10253679804001004</v>
      </c>
      <c r="M278" s="396">
        <v>386.1518098246936</v>
      </c>
      <c r="N278" s="396">
        <v>4.8846668502335646</v>
      </c>
      <c r="O278" s="396">
        <v>2.0319551323855485E-3</v>
      </c>
      <c r="P278" s="396">
        <v>0.10756633769546252</v>
      </c>
      <c r="Q278" s="396">
        <v>0.24253728098778315</v>
      </c>
      <c r="R278" s="396">
        <v>0</v>
      </c>
      <c r="S278" s="396">
        <v>0</v>
      </c>
      <c r="T278" s="396">
        <v>0</v>
      </c>
      <c r="U278" s="396">
        <v>0</v>
      </c>
      <c r="V278" s="396">
        <v>0</v>
      </c>
      <c r="W278" s="396">
        <v>525.02614604981432</v>
      </c>
      <c r="X278" s="396">
        <v>5.5111833275729731</v>
      </c>
      <c r="Y278" s="396">
        <v>3.6041151413682129E-3</v>
      </c>
      <c r="Z278" s="396">
        <v>0.17173668122466748</v>
      </c>
      <c r="AA278" s="396">
        <v>0.21224532849762329</v>
      </c>
      <c r="AB278" s="396">
        <v>850.42777096019813</v>
      </c>
      <c r="AC278" s="396">
        <v>0.80884310819884697</v>
      </c>
      <c r="AD278" s="396">
        <v>1.3307424923012803E-2</v>
      </c>
      <c r="AE278" s="396">
        <v>2.3325383778276874</v>
      </c>
      <c r="AF278" s="396">
        <v>0.11251924679895343</v>
      </c>
      <c r="AG278" s="396">
        <v>512.61487002108083</v>
      </c>
      <c r="AH278" s="396">
        <v>5.1478142899329571</v>
      </c>
      <c r="AI278" s="396">
        <v>3.5083636193522548E-3</v>
      </c>
      <c r="AJ278" s="396">
        <v>0.15043521228476947</v>
      </c>
      <c r="AK278" s="396">
        <v>0.24106988833888374</v>
      </c>
      <c r="AL278" s="396">
        <v>0</v>
      </c>
      <c r="AM278" s="396">
        <v>0</v>
      </c>
      <c r="AN278" s="396">
        <v>0</v>
      </c>
      <c r="AO278" s="396">
        <v>0</v>
      </c>
      <c r="AP278" s="396">
        <v>0</v>
      </c>
      <c r="AQ278" s="396">
        <v>543.84482146956327</v>
      </c>
      <c r="AR278" s="396">
        <v>9.1706316909785262</v>
      </c>
      <c r="AS278" s="396">
        <v>7.1812850852480221E-3</v>
      </c>
      <c r="AT278" s="396">
        <v>0.4656816711534047</v>
      </c>
      <c r="AU278" s="396">
        <v>0.26627694651390887</v>
      </c>
      <c r="AV278" s="396">
        <v>865.55796491102308</v>
      </c>
      <c r="AW278" s="396">
        <v>0.66247319343141997</v>
      </c>
      <c r="AX278" s="396">
        <v>1.3751904087740364E-2</v>
      </c>
      <c r="AY278" s="396">
        <v>2.3930694193055086</v>
      </c>
      <c r="AZ278" s="396">
        <v>0.10980567851233253</v>
      </c>
      <c r="BA278" s="396">
        <v>498.98436321584796</v>
      </c>
      <c r="BB278" s="396">
        <v>4.6840715973653779</v>
      </c>
      <c r="BC278" s="396">
        <v>3.2751018150736591E-3</v>
      </c>
      <c r="BD278" s="396">
        <v>0.14059052742722108</v>
      </c>
      <c r="BE278" s="396">
        <v>0.22860425360752173</v>
      </c>
      <c r="BF278" s="396">
        <v>0</v>
      </c>
      <c r="BG278" s="396">
        <v>0</v>
      </c>
      <c r="BH278" s="396">
        <v>0</v>
      </c>
      <c r="BI278" s="396">
        <v>0</v>
      </c>
      <c r="BJ278" s="396">
        <v>0</v>
      </c>
      <c r="BK278" s="396">
        <v>1147.7241103207189</v>
      </c>
      <c r="BL278" s="396">
        <v>19.587054061839364</v>
      </c>
      <c r="BM278" s="396">
        <v>5.972580936525064E-2</v>
      </c>
      <c r="BN278" s="396">
        <v>1.3294828167033652</v>
      </c>
      <c r="BO278" s="396">
        <v>0.6947236855595863</v>
      </c>
      <c r="BP278" s="396">
        <v>1761.1721325104411</v>
      </c>
      <c r="BQ278" s="396">
        <v>1.2410089885662305</v>
      </c>
      <c r="BR278" s="396">
        <v>3.0083234710145637E-2</v>
      </c>
      <c r="BS278" s="396">
        <v>6.8117095881300065</v>
      </c>
      <c r="BT278" s="396">
        <v>0.21995090032374487</v>
      </c>
      <c r="BU278" s="396">
        <v>1689.9260766767425</v>
      </c>
      <c r="BV278" s="396">
        <v>5.0820713494747558</v>
      </c>
      <c r="BW278" s="396">
        <v>4.3896163170023643E-3</v>
      </c>
      <c r="BX278" s="396">
        <v>4.5395205458953098</v>
      </c>
      <c r="BY278" s="396">
        <v>0.17339583395684316</v>
      </c>
      <c r="BZ278" s="396">
        <v>0</v>
      </c>
      <c r="CA278" s="396">
        <v>0</v>
      </c>
      <c r="CB278" s="396">
        <v>0</v>
      </c>
      <c r="CC278" s="396">
        <v>0</v>
      </c>
      <c r="CD278" s="396">
        <v>0</v>
      </c>
      <c r="CE278" s="396">
        <v>1104.4529632103308</v>
      </c>
      <c r="CF278" s="396">
        <v>18.110870292776958</v>
      </c>
      <c r="CG278" s="396">
        <v>5.3792742615540429E-2</v>
      </c>
      <c r="CH278" s="396">
        <v>1.2946622608116145</v>
      </c>
      <c r="CI278" s="396">
        <v>0.65327567333731817</v>
      </c>
      <c r="CJ278" s="396">
        <v>1668.5453294491369</v>
      </c>
      <c r="CK278" s="396">
        <v>1.3767182444994219</v>
      </c>
      <c r="CL278" s="396">
        <v>2.822213113554186E-2</v>
      </c>
      <c r="CM278" s="396">
        <v>5.3186163282633832</v>
      </c>
      <c r="CN278" s="396">
        <v>0.23292412642180615</v>
      </c>
      <c r="CO278" s="396">
        <v>1599.808282809732</v>
      </c>
      <c r="CP278" s="396">
        <v>4.6673953114396491</v>
      </c>
      <c r="CQ278" s="396">
        <v>4.4801350979079089E-3</v>
      </c>
      <c r="CR278" s="396">
        <v>4.4712659381712072</v>
      </c>
      <c r="CS278" s="396">
        <v>0.15068344042769058</v>
      </c>
      <c r="CT278" s="396">
        <v>0</v>
      </c>
      <c r="CU278" s="396">
        <v>0</v>
      </c>
      <c r="CV278" s="396">
        <v>0</v>
      </c>
      <c r="CW278" s="396">
        <v>0</v>
      </c>
      <c r="CX278" s="396">
        <v>0</v>
      </c>
      <c r="CY278" s="396">
        <v>1087.1127579818174</v>
      </c>
      <c r="CZ278" s="396">
        <v>11.940109440303331</v>
      </c>
      <c r="DA278" s="396">
        <v>3.9896247145503896E-2</v>
      </c>
      <c r="DB278" s="396">
        <v>0.96410013356887425</v>
      </c>
      <c r="DC278" s="396">
        <v>0.63203584816235081</v>
      </c>
      <c r="DD278" s="396">
        <v>1271.8352859581007</v>
      </c>
      <c r="DE278" s="396">
        <v>1.5508577723078596</v>
      </c>
      <c r="DF278" s="396">
        <v>1.8549255328070426E-2</v>
      </c>
      <c r="DG278" s="396">
        <v>3.859533409942407</v>
      </c>
      <c r="DH278" s="396">
        <v>0.25454951371370421</v>
      </c>
      <c r="DI278" s="396">
        <v>1378.0578378127466</v>
      </c>
      <c r="DJ278" s="396">
        <v>4.3336582648656172</v>
      </c>
      <c r="DK278" s="396">
        <v>4.0893213572854295E-3</v>
      </c>
      <c r="DL278" s="396">
        <v>4.0300213526435495</v>
      </c>
      <c r="DM278" s="396">
        <v>0.14046935199368701</v>
      </c>
      <c r="DN278" s="396">
        <v>0</v>
      </c>
      <c r="DO278" s="396">
        <v>0</v>
      </c>
      <c r="DP278" s="396">
        <v>0</v>
      </c>
      <c r="DQ278" s="396">
        <v>0</v>
      </c>
      <c r="DR278" s="396">
        <v>0</v>
      </c>
      <c r="DS278" s="396">
        <v>1580.9735227639651</v>
      </c>
      <c r="DT278" s="396">
        <v>6.7101226993865035</v>
      </c>
      <c r="DU278" s="396">
        <v>2.5811107523409753E-2</v>
      </c>
      <c r="DV278" s="396">
        <v>0.63877542783338714</v>
      </c>
      <c r="DW278" s="396">
        <v>0.46447772037455604</v>
      </c>
      <c r="DX278" s="396">
        <v>1838.5856017960612</v>
      </c>
      <c r="DY278" s="396">
        <v>1.3045215180679135</v>
      </c>
      <c r="DZ278" s="396">
        <v>3.0676576918632483E-2</v>
      </c>
      <c r="EA278" s="396">
        <v>7.0028476154315991</v>
      </c>
      <c r="EB278" s="396">
        <v>0.2469840038298364</v>
      </c>
      <c r="EC278" s="396">
        <v>2669.3194937957473</v>
      </c>
      <c r="ED278" s="396">
        <v>46.575947451604584</v>
      </c>
      <c r="EE278" s="396">
        <v>1.0122000156927803E-2</v>
      </c>
      <c r="EF278" s="396">
        <v>1.5304204544180779</v>
      </c>
      <c r="EG278" s="396">
        <v>1.3015367715467479</v>
      </c>
      <c r="EH278" s="396">
        <v>0</v>
      </c>
      <c r="EI278" s="396">
        <v>0</v>
      </c>
      <c r="EJ278" s="396">
        <v>0</v>
      </c>
      <c r="EK278" s="396">
        <v>0</v>
      </c>
      <c r="EL278" s="396">
        <v>0</v>
      </c>
      <c r="EM278" s="396">
        <v>926.243357739305</v>
      </c>
      <c r="EN278" s="396">
        <v>16.856391126783173</v>
      </c>
      <c r="EO278" s="396">
        <v>3.4448335251528434E-2</v>
      </c>
      <c r="EP278" s="396">
        <v>1.3696974149260068</v>
      </c>
      <c r="EQ278" s="396">
        <v>0.7027722680684455</v>
      </c>
      <c r="ER278" s="396">
        <v>1249.251484892133</v>
      </c>
      <c r="ES278" s="396">
        <v>0.976444027254042</v>
      </c>
      <c r="ET278" s="396">
        <v>1.9926119535839712E-2</v>
      </c>
      <c r="EU278" s="396">
        <v>3.7600543786110796</v>
      </c>
      <c r="EV278" s="396">
        <v>0.20818430464969492</v>
      </c>
      <c r="EW278" s="396">
        <v>1693.4699620322572</v>
      </c>
      <c r="EX278" s="396">
        <v>5.4099895511116172</v>
      </c>
      <c r="EY278" s="396">
        <v>4.838042230061762E-3</v>
      </c>
      <c r="EZ278" s="396">
        <v>4.5721852660328359</v>
      </c>
      <c r="FA278" s="396">
        <v>0.18736253504515782</v>
      </c>
      <c r="FB278" s="396">
        <v>0</v>
      </c>
      <c r="FC278" s="396">
        <v>0</v>
      </c>
      <c r="FD278" s="396">
        <v>0</v>
      </c>
      <c r="FE278" s="396">
        <v>0</v>
      </c>
      <c r="FF278" s="396">
        <v>0</v>
      </c>
      <c r="FG278" s="396">
        <v>832.34810496419209</v>
      </c>
      <c r="FH278" s="396">
        <v>11.330171542980873</v>
      </c>
      <c r="FI278" s="396">
        <v>2.012416142343983E-2</v>
      </c>
      <c r="FJ278" s="396">
        <v>0.9495019500727031</v>
      </c>
      <c r="FK278" s="396">
        <v>0.39978800603367443</v>
      </c>
      <c r="FL278" s="396">
        <v>1151.7958182895943</v>
      </c>
      <c r="FM278" s="396">
        <v>0.71064018968583287</v>
      </c>
      <c r="FN278" s="396">
        <v>1.8488036859406157E-2</v>
      </c>
      <c r="FO278" s="396">
        <v>3.2964784178477124</v>
      </c>
      <c r="FP278" s="396">
        <v>0.12852346823301181</v>
      </c>
      <c r="FQ278" s="396">
        <v>1465.0017223561833</v>
      </c>
      <c r="FR278" s="396">
        <v>4.2871339993110578</v>
      </c>
      <c r="FS278" s="396">
        <v>4.5229245607991729E-3</v>
      </c>
      <c r="FT278" s="396">
        <v>4.3623923527385466</v>
      </c>
      <c r="FU278" s="396">
        <v>0.14962022046159146</v>
      </c>
      <c r="FV278" s="396">
        <v>0</v>
      </c>
      <c r="FW278" s="396">
        <v>0</v>
      </c>
      <c r="FX278" s="396">
        <v>0</v>
      </c>
      <c r="FY278" s="396">
        <v>0</v>
      </c>
      <c r="FZ278" s="396">
        <v>0</v>
      </c>
      <c r="GA278" s="396">
        <v>1867.2387733184837</v>
      </c>
      <c r="GB278" s="396">
        <v>1.1454770096654867</v>
      </c>
      <c r="GC278" s="396">
        <v>3.5950986436498154E-2</v>
      </c>
      <c r="GD278" s="396">
        <v>7.0658734736088471</v>
      </c>
      <c r="GE278" s="396">
        <v>0.22021324728531086</v>
      </c>
      <c r="GF278" s="396">
        <v>2371.257795015968</v>
      </c>
      <c r="GG278" s="396">
        <v>44.788987026226295</v>
      </c>
      <c r="GH278" s="396">
        <v>8.5562993286131834E-3</v>
      </c>
      <c r="GI278" s="396">
        <v>1.0384215640206751</v>
      </c>
      <c r="GJ278" s="396">
        <v>0.98070857989343818</v>
      </c>
      <c r="GK278" s="396">
        <v>0</v>
      </c>
      <c r="GL278" s="396">
        <v>0</v>
      </c>
      <c r="GM278" s="396">
        <v>0</v>
      </c>
      <c r="GN278" s="396">
        <v>0</v>
      </c>
      <c r="GO278" s="396">
        <v>0</v>
      </c>
      <c r="GP278" s="396">
        <v>1500.25</v>
      </c>
      <c r="GQ278" s="396">
        <v>33.7166</v>
      </c>
      <c r="GR278" s="396">
        <v>8.3000000000000001E-3</v>
      </c>
      <c r="GS278" s="396">
        <v>3.1775000000000002</v>
      </c>
      <c r="GT278" s="396">
        <v>0.82199999999999995</v>
      </c>
      <c r="GU278" s="396">
        <v>1892.226749182365</v>
      </c>
      <c r="GV278" s="396">
        <v>1.0612227738381548</v>
      </c>
      <c r="GW278" s="396">
        <v>3.5019505771358969E-2</v>
      </c>
      <c r="GX278" s="396">
        <v>7.4857153455705516</v>
      </c>
      <c r="GY278" s="396">
        <v>0.82199999999999995</v>
      </c>
      <c r="GZ278" s="396">
        <v>0</v>
      </c>
      <c r="HA278" s="396">
        <v>0</v>
      </c>
      <c r="HB278" s="396">
        <v>0</v>
      </c>
      <c r="HC278" s="396">
        <v>0</v>
      </c>
      <c r="HD278" s="487">
        <v>0</v>
      </c>
    </row>
    <row r="279" spans="2:212" x14ac:dyDescent="0.35">
      <c r="B279" s="396">
        <v>2009</v>
      </c>
      <c r="C279" s="396">
        <v>389.15034094598985</v>
      </c>
      <c r="D279" s="396">
        <v>4.8639463145362054</v>
      </c>
      <c r="E279" s="396">
        <v>1.9811397337374174E-3</v>
      </c>
      <c r="F279" s="396">
        <v>0.10018292022946206</v>
      </c>
      <c r="G279" s="396">
        <v>0.20305011364866327</v>
      </c>
      <c r="H279" s="396">
        <v>436.27521836991764</v>
      </c>
      <c r="I279" s="396">
        <v>4.557216704180175</v>
      </c>
      <c r="J279" s="396">
        <v>1.5560396748370397E-3</v>
      </c>
      <c r="K279" s="396">
        <v>0.1349612130973768</v>
      </c>
      <c r="L279" s="396">
        <v>0.10079019279878304</v>
      </c>
      <c r="M279" s="396">
        <v>381.71271118845624</v>
      </c>
      <c r="N279" s="396">
        <v>4.8398428487617089</v>
      </c>
      <c r="O279" s="396">
        <v>2.1165450458467644E-3</v>
      </c>
      <c r="P279" s="396">
        <v>0.10234935827713726</v>
      </c>
      <c r="Q279" s="396">
        <v>0.23785604577425329</v>
      </c>
      <c r="R279" s="396">
        <v>0</v>
      </c>
      <c r="S279" s="396">
        <v>0</v>
      </c>
      <c r="T279" s="396">
        <v>0</v>
      </c>
      <c r="U279" s="396">
        <v>0</v>
      </c>
      <c r="V279" s="396">
        <v>0</v>
      </c>
      <c r="W279" s="396">
        <v>521.08986727474712</v>
      </c>
      <c r="X279" s="396">
        <v>5.3299494240776477</v>
      </c>
      <c r="Y279" s="396">
        <v>3.9609498333625674E-3</v>
      </c>
      <c r="Z279" s="396">
        <v>0.13966263228673334</v>
      </c>
      <c r="AA279" s="396">
        <v>0.20669034672279715</v>
      </c>
      <c r="AB279" s="396">
        <v>827.14143883331531</v>
      </c>
      <c r="AC279" s="396">
        <v>1.1600353743085741</v>
      </c>
      <c r="AD279" s="396">
        <v>1.2404451823362061E-2</v>
      </c>
      <c r="AE279" s="396">
        <v>2.1449512351807511</v>
      </c>
      <c r="AF279" s="396">
        <v>0.11295417191580248</v>
      </c>
      <c r="AG279" s="396">
        <v>508.51799594529257</v>
      </c>
      <c r="AH279" s="396">
        <v>5.1171878313535766</v>
      </c>
      <c r="AI279" s="396">
        <v>3.8872881811215757E-3</v>
      </c>
      <c r="AJ279" s="396">
        <v>0.13223068288172637</v>
      </c>
      <c r="AK279" s="396">
        <v>0.23843461148042064</v>
      </c>
      <c r="AL279" s="396">
        <v>0</v>
      </c>
      <c r="AM279" s="396">
        <v>0</v>
      </c>
      <c r="AN279" s="396">
        <v>0</v>
      </c>
      <c r="AO279" s="396">
        <v>0</v>
      </c>
      <c r="AP279" s="396">
        <v>0</v>
      </c>
      <c r="AQ279" s="396">
        <v>542.00579486865252</v>
      </c>
      <c r="AR279" s="396">
        <v>7.1978483705214513</v>
      </c>
      <c r="AS279" s="396">
        <v>7.5503374504328645E-3</v>
      </c>
      <c r="AT279" s="396">
        <v>0.25465033832579065</v>
      </c>
      <c r="AU279" s="396">
        <v>0.22481289226971521</v>
      </c>
      <c r="AV279" s="396">
        <v>858.33690757023373</v>
      </c>
      <c r="AW279" s="396">
        <v>0.75652298234326965</v>
      </c>
      <c r="AX279" s="396">
        <v>1.3480466795339196E-2</v>
      </c>
      <c r="AY279" s="396">
        <v>2.3391593394810211</v>
      </c>
      <c r="AZ279" s="396">
        <v>0.11014136106941168</v>
      </c>
      <c r="BA279" s="396">
        <v>494.97149398288894</v>
      </c>
      <c r="BB279" s="396">
        <v>4.6563296737603412</v>
      </c>
      <c r="BC279" s="396">
        <v>3.6230020391527233E-3</v>
      </c>
      <c r="BD279" s="396">
        <v>0.12339203020820169</v>
      </c>
      <c r="BE279" s="396">
        <v>0.22608405868200862</v>
      </c>
      <c r="BF279" s="396">
        <v>0</v>
      </c>
      <c r="BG279" s="396">
        <v>0</v>
      </c>
      <c r="BH279" s="396">
        <v>0</v>
      </c>
      <c r="BI279" s="396">
        <v>0</v>
      </c>
      <c r="BJ279" s="396">
        <v>0</v>
      </c>
      <c r="BK279" s="396">
        <v>1152.1323698028448</v>
      </c>
      <c r="BL279" s="396">
        <v>18.73680682546496</v>
      </c>
      <c r="BM279" s="396">
        <v>5.9312984729727347E-2</v>
      </c>
      <c r="BN279" s="396">
        <v>0.92645926065302908</v>
      </c>
      <c r="BO279" s="396">
        <v>0.55259041918280227</v>
      </c>
      <c r="BP279" s="396">
        <v>1773.4814637972784</v>
      </c>
      <c r="BQ279" s="396">
        <v>1.2693206234439482</v>
      </c>
      <c r="BR279" s="396">
        <v>3.0542785034616826E-2</v>
      </c>
      <c r="BS279" s="396">
        <v>6.9641468572013228</v>
      </c>
      <c r="BT279" s="396">
        <v>0.22387196889601307</v>
      </c>
      <c r="BU279" s="396">
        <v>1689.9235353342947</v>
      </c>
      <c r="BV279" s="396">
        <v>5.0820611898736479</v>
      </c>
      <c r="BW279" s="396">
        <v>4.3896160439739857E-3</v>
      </c>
      <c r="BX279" s="396">
        <v>4.5395158144892838</v>
      </c>
      <c r="BY279" s="396">
        <v>0.17339610148121942</v>
      </c>
      <c r="BZ279" s="396">
        <v>0</v>
      </c>
      <c r="CA279" s="396">
        <v>0</v>
      </c>
      <c r="CB279" s="396">
        <v>0</v>
      </c>
      <c r="CC279" s="396">
        <v>0</v>
      </c>
      <c r="CD279" s="396">
        <v>0</v>
      </c>
      <c r="CE279" s="396">
        <v>1108.3253667494275</v>
      </c>
      <c r="CF279" s="396">
        <v>17.45349005151342</v>
      </c>
      <c r="CG279" s="396">
        <v>5.3462816112903114E-2</v>
      </c>
      <c r="CH279" s="396">
        <v>0.91615348111059902</v>
      </c>
      <c r="CI279" s="396">
        <v>0.55192951808471857</v>
      </c>
      <c r="CJ279" s="396">
        <v>1679.7513119550972</v>
      </c>
      <c r="CK279" s="396">
        <v>1.4179885948168049</v>
      </c>
      <c r="CL279" s="396">
        <v>2.8675119826229528E-2</v>
      </c>
      <c r="CM279" s="396">
        <v>5.3965584989358755</v>
      </c>
      <c r="CN279" s="396">
        <v>0.23840183823309416</v>
      </c>
      <c r="CO279" s="396">
        <v>1599.8128469334058</v>
      </c>
      <c r="CP279" s="396">
        <v>4.6674107521770862</v>
      </c>
      <c r="CQ279" s="396">
        <v>4.4801515897401082E-3</v>
      </c>
      <c r="CR279" s="396">
        <v>4.4712819772870018</v>
      </c>
      <c r="CS279" s="396">
        <v>0.15068410599399074</v>
      </c>
      <c r="CT279" s="396">
        <v>0</v>
      </c>
      <c r="CU279" s="396">
        <v>0</v>
      </c>
      <c r="CV279" s="396">
        <v>0</v>
      </c>
      <c r="CW279" s="396">
        <v>0</v>
      </c>
      <c r="CX279" s="396">
        <v>0</v>
      </c>
      <c r="CY279" s="396">
        <v>1038.6229447162566</v>
      </c>
      <c r="CZ279" s="396">
        <v>13.368581221899824</v>
      </c>
      <c r="DA279" s="396">
        <v>4.4248038299198322E-2</v>
      </c>
      <c r="DB279" s="396">
        <v>0.79754519297308446</v>
      </c>
      <c r="DC279" s="396">
        <v>0.57296636679656998</v>
      </c>
      <c r="DD279" s="396">
        <v>1271.0875622846631</v>
      </c>
      <c r="DE279" s="396">
        <v>1.554725855970863</v>
      </c>
      <c r="DF279" s="396">
        <v>1.8506037437143394E-2</v>
      </c>
      <c r="DG279" s="396">
        <v>3.8484600989233733</v>
      </c>
      <c r="DH279" s="396">
        <v>0.25510288122331881</v>
      </c>
      <c r="DI279" s="396">
        <v>1378.0571342186445</v>
      </c>
      <c r="DJ279" s="396">
        <v>4.3336781983871662</v>
      </c>
      <c r="DK279" s="396">
        <v>4.0893200489424929E-3</v>
      </c>
      <c r="DL279" s="396">
        <v>4.0300079838622045</v>
      </c>
      <c r="DM279" s="396">
        <v>0.14046944164930528</v>
      </c>
      <c r="DN279" s="396">
        <v>0</v>
      </c>
      <c r="DO279" s="396">
        <v>0</v>
      </c>
      <c r="DP279" s="396">
        <v>0</v>
      </c>
      <c r="DQ279" s="396">
        <v>0</v>
      </c>
      <c r="DR279" s="396">
        <v>0</v>
      </c>
      <c r="DS279" s="396">
        <v>1580.978920281063</v>
      </c>
      <c r="DT279" s="396">
        <v>6.710137198170691</v>
      </c>
      <c r="DU279" s="396">
        <v>2.5811255849922003E-2</v>
      </c>
      <c r="DV279" s="396">
        <v>0.63877814962467172</v>
      </c>
      <c r="DW279" s="396">
        <v>0.46066985773523023</v>
      </c>
      <c r="DX279" s="396">
        <v>1845.9337813675318</v>
      </c>
      <c r="DY279" s="396">
        <v>1.281423022381158</v>
      </c>
      <c r="DZ279" s="396">
        <v>3.1345643997780379E-2</v>
      </c>
      <c r="EA279" s="396">
        <v>7.1767679881620321</v>
      </c>
      <c r="EB279" s="396">
        <v>0.24309143597015845</v>
      </c>
      <c r="EC279" s="396">
        <v>2669.3194937957473</v>
      </c>
      <c r="ED279" s="396">
        <v>46.575947451604584</v>
      </c>
      <c r="EE279" s="396">
        <v>1.0122000156927803E-2</v>
      </c>
      <c r="EF279" s="396">
        <v>1.5304204544180779</v>
      </c>
      <c r="EG279" s="396">
        <v>1.3015367715467479</v>
      </c>
      <c r="EH279" s="396">
        <v>0</v>
      </c>
      <c r="EI279" s="396">
        <v>0</v>
      </c>
      <c r="EJ279" s="396">
        <v>0</v>
      </c>
      <c r="EK279" s="396">
        <v>0</v>
      </c>
      <c r="EL279" s="396">
        <v>0</v>
      </c>
      <c r="EM279" s="396">
        <v>916.99124132852774</v>
      </c>
      <c r="EN279" s="396">
        <v>13.281595163353099</v>
      </c>
      <c r="EO279" s="396">
        <v>3.3186693407743287E-2</v>
      </c>
      <c r="EP279" s="396">
        <v>0.78739390768515283</v>
      </c>
      <c r="EQ279" s="396">
        <v>0.51896581792814789</v>
      </c>
      <c r="ER279" s="396">
        <v>1311.166286860991</v>
      </c>
      <c r="ES279" s="396">
        <v>1.242724737253835</v>
      </c>
      <c r="ET279" s="396">
        <v>2.1589401721029897E-2</v>
      </c>
      <c r="EU279" s="396">
        <v>4.274854596782423</v>
      </c>
      <c r="EV279" s="396">
        <v>0.2344137954491344</v>
      </c>
      <c r="EW279" s="396">
        <v>1693.4682096900924</v>
      </c>
      <c r="EX279" s="396">
        <v>5.4099593712613858</v>
      </c>
      <c r="EY279" s="396">
        <v>4.8380378174983909E-3</v>
      </c>
      <c r="EZ279" s="396">
        <v>4.5721742495133633</v>
      </c>
      <c r="FA279" s="396">
        <v>0.18736244862182105</v>
      </c>
      <c r="FB279" s="396">
        <v>0</v>
      </c>
      <c r="FC279" s="396">
        <v>0</v>
      </c>
      <c r="FD279" s="396">
        <v>0</v>
      </c>
      <c r="FE279" s="396">
        <v>0</v>
      </c>
      <c r="FF279" s="396">
        <v>0</v>
      </c>
      <c r="FG279" s="396">
        <v>824.01355415834428</v>
      </c>
      <c r="FH279" s="396">
        <v>10.553901872245842</v>
      </c>
      <c r="FI279" s="396">
        <v>1.9940001088063167E-2</v>
      </c>
      <c r="FJ279" s="396">
        <v>0.54636548041874888</v>
      </c>
      <c r="FK279" s="396">
        <v>0.2796827518671941</v>
      </c>
      <c r="FL279" s="396">
        <v>1206.5801607525798</v>
      </c>
      <c r="FM279" s="396">
        <v>0.83320692120067874</v>
      </c>
      <c r="FN279" s="396">
        <v>1.9935420679569799E-2</v>
      </c>
      <c r="FO279" s="396">
        <v>3.837081134762609</v>
      </c>
      <c r="FP279" s="396">
        <v>0.15359974462930323</v>
      </c>
      <c r="FQ279" s="396">
        <v>1465.0009343219199</v>
      </c>
      <c r="FR279" s="396">
        <v>4.2871440471024931</v>
      </c>
      <c r="FS279" s="396">
        <v>4.5229098901934202E-3</v>
      </c>
      <c r="FT279" s="396">
        <v>4.3623965515603178</v>
      </c>
      <c r="FU279" s="396">
        <v>0.14961977848652519</v>
      </c>
      <c r="FV279" s="396">
        <v>0</v>
      </c>
      <c r="FW279" s="396">
        <v>0</v>
      </c>
      <c r="FX279" s="396">
        <v>0</v>
      </c>
      <c r="FY279" s="396">
        <v>0</v>
      </c>
      <c r="FZ279" s="396">
        <v>0</v>
      </c>
      <c r="GA279" s="396">
        <v>1863.8050136855368</v>
      </c>
      <c r="GB279" s="396">
        <v>1.1445644523612981</v>
      </c>
      <c r="GC279" s="396">
        <v>3.4509970891080509E-2</v>
      </c>
      <c r="GD279" s="396">
        <v>6.9870617369770178</v>
      </c>
      <c r="GE279" s="396">
        <v>0.21970022157535735</v>
      </c>
      <c r="GF279" s="396">
        <v>1728.259904294518</v>
      </c>
      <c r="GG279" s="396">
        <v>4.7529258304350428</v>
      </c>
      <c r="GH279" s="396">
        <v>4.8641066590575906E-3</v>
      </c>
      <c r="GI279" s="396">
        <v>4.9014775097940175</v>
      </c>
      <c r="GJ279" s="396">
        <v>0.14304533854322107</v>
      </c>
      <c r="GK279" s="396">
        <v>0</v>
      </c>
      <c r="GL279" s="396">
        <v>0</v>
      </c>
      <c r="GM279" s="396">
        <v>0</v>
      </c>
      <c r="GN279" s="396">
        <v>0</v>
      </c>
      <c r="GO279" s="396">
        <v>0</v>
      </c>
      <c r="GP279" s="396">
        <v>1500.10998535156</v>
      </c>
      <c r="GQ279" s="396">
        <v>33.633099999999999</v>
      </c>
      <c r="GR279" s="396">
        <v>8.3000000000000001E-3</v>
      </c>
      <c r="GS279" s="396">
        <v>3.1555</v>
      </c>
      <c r="GT279" s="396">
        <v>0.82130000000000003</v>
      </c>
      <c r="GU279" s="396">
        <v>1892.2330011697552</v>
      </c>
      <c r="GV279" s="396">
        <v>1.0524542871968972</v>
      </c>
      <c r="GW279" s="396">
        <v>3.3843129666927589E-2</v>
      </c>
      <c r="GX279" s="396">
        <v>7.4635396969190584</v>
      </c>
      <c r="GY279" s="396">
        <v>0.82130000000000003</v>
      </c>
      <c r="GZ279" s="396">
        <v>0</v>
      </c>
      <c r="HA279" s="396">
        <v>0</v>
      </c>
      <c r="HB279" s="396">
        <v>0</v>
      </c>
      <c r="HC279" s="396">
        <v>0</v>
      </c>
      <c r="HD279" s="487">
        <v>0</v>
      </c>
    </row>
    <row r="280" spans="2:212" x14ac:dyDescent="0.35">
      <c r="B280" s="396">
        <v>2010</v>
      </c>
      <c r="C280" s="396">
        <v>395.54561004756658</v>
      </c>
      <c r="D280" s="396">
        <v>4.8665088923776265</v>
      </c>
      <c r="E280" s="396">
        <v>2.2673946153665909E-3</v>
      </c>
      <c r="F280" s="396">
        <v>8.8350633830869094E-2</v>
      </c>
      <c r="G280" s="396">
        <v>0.19675844131499404</v>
      </c>
      <c r="H280" s="396">
        <v>442.30827996560021</v>
      </c>
      <c r="I280" s="396">
        <v>4.6178695688236404</v>
      </c>
      <c r="J280" s="396">
        <v>1.7722933064421075E-3</v>
      </c>
      <c r="K280" s="396">
        <v>0.11479235695483062</v>
      </c>
      <c r="L280" s="396">
        <v>0.11241667430621947</v>
      </c>
      <c r="M280" s="396">
        <v>387.94817061391649</v>
      </c>
      <c r="N280" s="396">
        <v>4.8433817563651811</v>
      </c>
      <c r="O280" s="396">
        <v>2.431687787350771E-3</v>
      </c>
      <c r="P280" s="396">
        <v>9.0280299810686554E-2</v>
      </c>
      <c r="Q280" s="396">
        <v>0.2310522350577599</v>
      </c>
      <c r="R280" s="396">
        <v>0</v>
      </c>
      <c r="S280" s="396">
        <v>0</v>
      </c>
      <c r="T280" s="396">
        <v>0</v>
      </c>
      <c r="U280" s="396">
        <v>0</v>
      </c>
      <c r="V280" s="396">
        <v>0</v>
      </c>
      <c r="W280" s="396">
        <v>522.85161734707401</v>
      </c>
      <c r="X280" s="396">
        <v>5.1021856041539726</v>
      </c>
      <c r="Y280" s="396">
        <v>3.9190929080456724E-3</v>
      </c>
      <c r="Z280" s="396">
        <v>0.12537261239303787</v>
      </c>
      <c r="AA280" s="396">
        <v>0.19969586987045326</v>
      </c>
      <c r="AB280" s="396">
        <v>681.91094401230748</v>
      </c>
      <c r="AC280" s="396">
        <v>1.4266226070029748</v>
      </c>
      <c r="AD280" s="396">
        <v>6.5844603345290142E-3</v>
      </c>
      <c r="AE280" s="396">
        <v>1.1381560873762786</v>
      </c>
      <c r="AF280" s="396">
        <v>9.1328304671004612E-2</v>
      </c>
      <c r="AG280" s="396">
        <v>509.8676095093515</v>
      </c>
      <c r="AH280" s="396">
        <v>5.0706148204093555</v>
      </c>
      <c r="AI280" s="396">
        <v>4.1469841697480084E-3</v>
      </c>
      <c r="AJ280" s="396">
        <v>0.12743042574735469</v>
      </c>
      <c r="AK280" s="396">
        <v>0.23285106486029147</v>
      </c>
      <c r="AL280" s="396">
        <v>0</v>
      </c>
      <c r="AM280" s="396">
        <v>0</v>
      </c>
      <c r="AN280" s="396">
        <v>0</v>
      </c>
      <c r="AO280" s="396">
        <v>0</v>
      </c>
      <c r="AP280" s="396">
        <v>0</v>
      </c>
      <c r="AQ280" s="396">
        <v>554.41052307115001</v>
      </c>
      <c r="AR280" s="396">
        <v>4.7978610772344101</v>
      </c>
      <c r="AS280" s="396">
        <v>4.4423656807429934E-3</v>
      </c>
      <c r="AT280" s="396">
        <v>0.12654555932294251</v>
      </c>
      <c r="AU280" s="396">
        <v>0.20389321468298111</v>
      </c>
      <c r="AV280" s="396">
        <v>703.61589276599523</v>
      </c>
      <c r="AW280" s="396">
        <v>0.88637271510049498</v>
      </c>
      <c r="AX280" s="396">
        <v>7.1061946575332342E-3</v>
      </c>
      <c r="AY280" s="396">
        <v>1.2579449034997523</v>
      </c>
      <c r="AZ280" s="396">
        <v>8.270688928177776E-2</v>
      </c>
      <c r="BA280" s="396">
        <v>496.27194140741921</v>
      </c>
      <c r="BB280" s="396">
        <v>4.6135605380376425</v>
      </c>
      <c r="BC280" s="396">
        <v>3.861555661191219E-3</v>
      </c>
      <c r="BD280" s="396">
        <v>0.11894465571576965</v>
      </c>
      <c r="BE280" s="396">
        <v>0.22107563513442138</v>
      </c>
      <c r="BF280" s="396">
        <v>0</v>
      </c>
      <c r="BG280" s="396">
        <v>0</v>
      </c>
      <c r="BH280" s="396">
        <v>0</v>
      </c>
      <c r="BI280" s="396">
        <v>0</v>
      </c>
      <c r="BJ280" s="396">
        <v>0</v>
      </c>
      <c r="BK280" s="396">
        <v>1938.3549513384046</v>
      </c>
      <c r="BL280" s="396">
        <v>47.499030141515</v>
      </c>
      <c r="BM280" s="396">
        <v>2.5141051157926697E-2</v>
      </c>
      <c r="BN280" s="396">
        <v>0.46540135274174776</v>
      </c>
      <c r="BO280" s="396">
        <v>0.72404152681026201</v>
      </c>
      <c r="BP280" s="396">
        <v>1950.7328649201991</v>
      </c>
      <c r="BQ280" s="396">
        <v>2.5478200176818206</v>
      </c>
      <c r="BR280" s="396">
        <v>1.0147875855009073E-2</v>
      </c>
      <c r="BS280" s="396">
        <v>5.5128751570424823</v>
      </c>
      <c r="BT280" s="396">
        <v>0.26511656042064119</v>
      </c>
      <c r="BU280" s="396">
        <v>2550.6434306055289</v>
      </c>
      <c r="BV280" s="396">
        <v>45.686518048068429</v>
      </c>
      <c r="BW280" s="396">
        <v>1.0264209892825588E-2</v>
      </c>
      <c r="BX280" s="396">
        <v>1.3515576782718925</v>
      </c>
      <c r="BY280" s="396">
        <v>1.2492720591059836</v>
      </c>
      <c r="BZ280" s="396">
        <v>0</v>
      </c>
      <c r="CA280" s="396">
        <v>0</v>
      </c>
      <c r="CB280" s="396">
        <v>0</v>
      </c>
      <c r="CC280" s="396">
        <v>0</v>
      </c>
      <c r="CD280" s="396">
        <v>0</v>
      </c>
      <c r="CE280" s="396">
        <v>1851.0873702192443</v>
      </c>
      <c r="CF280" s="396">
        <v>44.770355552801846</v>
      </c>
      <c r="CG280" s="396">
        <v>2.4613335221589854E-2</v>
      </c>
      <c r="CH280" s="396">
        <v>0.44787172837429967</v>
      </c>
      <c r="CI280" s="396">
        <v>0.69245966064489872</v>
      </c>
      <c r="CJ280" s="396">
        <v>1869.8071006495093</v>
      </c>
      <c r="CK280" s="396">
        <v>2.2645895394833224</v>
      </c>
      <c r="CL280" s="396">
        <v>9.5895883186013584E-3</v>
      </c>
      <c r="CM280" s="396">
        <v>4.8668652634663276</v>
      </c>
      <c r="CN280" s="396">
        <v>0.2401836206475558</v>
      </c>
      <c r="CO280" s="396">
        <v>2354.0001397616525</v>
      </c>
      <c r="CP280" s="396">
        <v>44.09297375168655</v>
      </c>
      <c r="CQ280" s="396">
        <v>9.1094495003520935E-3</v>
      </c>
      <c r="CR280" s="396">
        <v>1.1975745977820902</v>
      </c>
      <c r="CS280" s="396">
        <v>1.0872273975842737</v>
      </c>
      <c r="CT280" s="396">
        <v>0</v>
      </c>
      <c r="CU280" s="396">
        <v>0</v>
      </c>
      <c r="CV280" s="396">
        <v>0</v>
      </c>
      <c r="CW280" s="396">
        <v>0</v>
      </c>
      <c r="CX280" s="396">
        <v>0</v>
      </c>
      <c r="CY280" s="396">
        <v>1476.8272260937165</v>
      </c>
      <c r="CZ280" s="396">
        <v>21.871877533847325</v>
      </c>
      <c r="DA280" s="396">
        <v>2.3136718390820613E-2</v>
      </c>
      <c r="DB280" s="396">
        <v>0.3579861294933559</v>
      </c>
      <c r="DC280" s="396">
        <v>0.64504543162130001</v>
      </c>
      <c r="DD280" s="396">
        <v>1455.3106304913438</v>
      </c>
      <c r="DE280" s="396">
        <v>1.4652188460894997</v>
      </c>
      <c r="DF280" s="396">
        <v>5.2005295919603553E-2</v>
      </c>
      <c r="DG280" s="396">
        <v>2.9953242452737667</v>
      </c>
      <c r="DH280" s="396">
        <v>0.16407543512498488</v>
      </c>
      <c r="DI280" s="396">
        <v>2117.6042349674085</v>
      </c>
      <c r="DJ280" s="396">
        <v>40.066725807073709</v>
      </c>
      <c r="DK280" s="396">
        <v>8.8827284298221947E-3</v>
      </c>
      <c r="DL280" s="396">
        <v>1.0510327072164154</v>
      </c>
      <c r="DM280" s="396">
        <v>1.0818066108689786</v>
      </c>
      <c r="DN280" s="396">
        <v>0</v>
      </c>
      <c r="DO280" s="396">
        <v>0</v>
      </c>
      <c r="DP280" s="396">
        <v>0</v>
      </c>
      <c r="DQ280" s="396">
        <v>0</v>
      </c>
      <c r="DR280" s="396">
        <v>0</v>
      </c>
      <c r="DS280" s="396">
        <v>2123.3610822060355</v>
      </c>
      <c r="DT280" s="396">
        <v>72.174371933997307</v>
      </c>
      <c r="DU280" s="396">
        <v>9.3102423071205597E-3</v>
      </c>
      <c r="DV280" s="396">
        <v>0.42303106882711461</v>
      </c>
      <c r="DW280" s="396">
        <v>0.73826668648728999</v>
      </c>
      <c r="DX280" s="396">
        <v>2038.7728571021889</v>
      </c>
      <c r="DY280" s="396">
        <v>2.6100319785923727</v>
      </c>
      <c r="DZ280" s="396">
        <v>2.2562462636288583E-2</v>
      </c>
      <c r="EA280" s="396">
        <v>5.5420039285273717</v>
      </c>
      <c r="EB280" s="396">
        <v>0.2499900363436228</v>
      </c>
      <c r="EC280" s="396">
        <v>2669.3194937957473</v>
      </c>
      <c r="ED280" s="396">
        <v>46.575947451604584</v>
      </c>
      <c r="EE280" s="396">
        <v>1.0122000156927803E-2</v>
      </c>
      <c r="EF280" s="396">
        <v>1.5304204544180779</v>
      </c>
      <c r="EG280" s="396">
        <v>1.3015367715467479</v>
      </c>
      <c r="EH280" s="396">
        <v>0</v>
      </c>
      <c r="EI280" s="396">
        <v>0</v>
      </c>
      <c r="EJ280" s="396">
        <v>0</v>
      </c>
      <c r="EK280" s="396">
        <v>0</v>
      </c>
      <c r="EL280" s="396">
        <v>0</v>
      </c>
      <c r="EM280" s="396">
        <v>1201.3246118620889</v>
      </c>
      <c r="EN280" s="396">
        <v>8.4747499065190777</v>
      </c>
      <c r="EO280" s="396">
        <v>2.351273133326845E-2</v>
      </c>
      <c r="EP280" s="396">
        <v>0.35178638200658718</v>
      </c>
      <c r="EQ280" s="396">
        <v>0.56661220015674063</v>
      </c>
      <c r="ER280" s="396">
        <v>1217.6390189965753</v>
      </c>
      <c r="ES280" s="396">
        <v>1.3107713807454275</v>
      </c>
      <c r="ET280" s="396">
        <v>2.1548328393507069E-2</v>
      </c>
      <c r="EU280" s="396">
        <v>2.7307577130396057</v>
      </c>
      <c r="EV280" s="396">
        <v>0.19254764500821597</v>
      </c>
      <c r="EW280" s="396">
        <v>2421.7298607547905</v>
      </c>
      <c r="EX280" s="396">
        <v>42.385304057042767</v>
      </c>
      <c r="EY280" s="396">
        <v>9.9166209593234151E-3</v>
      </c>
      <c r="EZ280" s="396">
        <v>1.2842959889594652</v>
      </c>
      <c r="FA280" s="396">
        <v>1.2067888674605001</v>
      </c>
      <c r="FB280" s="396">
        <v>0</v>
      </c>
      <c r="FC280" s="396">
        <v>0</v>
      </c>
      <c r="FD280" s="396">
        <v>0</v>
      </c>
      <c r="FE280" s="396">
        <v>0</v>
      </c>
      <c r="FF280" s="396">
        <v>0</v>
      </c>
      <c r="FG280" s="396">
        <v>1104.9277723211078</v>
      </c>
      <c r="FH280" s="396">
        <v>5.8049173913390666</v>
      </c>
      <c r="FI280" s="396">
        <v>1.1187903760311108E-2</v>
      </c>
      <c r="FJ280" s="396">
        <v>0.10584129874070702</v>
      </c>
      <c r="FK280" s="396">
        <v>0.3120339537966445</v>
      </c>
      <c r="FL280" s="396">
        <v>1133.0931268834709</v>
      </c>
      <c r="FM280" s="396">
        <v>1.1654581529041739</v>
      </c>
      <c r="FN280" s="396">
        <v>1.9679821161908924E-2</v>
      </c>
      <c r="FO280" s="396">
        <v>2.3241230918400628</v>
      </c>
      <c r="FP280" s="396">
        <v>0.10200025736405342</v>
      </c>
      <c r="FQ280" s="396">
        <v>2149.5410882862006</v>
      </c>
      <c r="FR280" s="396">
        <v>39.77568147182744</v>
      </c>
      <c r="FS280" s="396">
        <v>8.8174834674555405E-3</v>
      </c>
      <c r="FT280" s="396">
        <v>1.1770309687829703</v>
      </c>
      <c r="FU280" s="396">
        <v>1.0899239399518676</v>
      </c>
      <c r="FV280" s="396">
        <v>0</v>
      </c>
      <c r="FW280" s="396">
        <v>0</v>
      </c>
      <c r="FX280" s="396">
        <v>0</v>
      </c>
      <c r="FY280" s="396">
        <v>0</v>
      </c>
      <c r="FZ280" s="396">
        <v>0</v>
      </c>
      <c r="GA280" s="396">
        <v>2040.7643602587391</v>
      </c>
      <c r="GB280" s="396">
        <v>2.4771018766959814</v>
      </c>
      <c r="GC280" s="396">
        <v>3.4196114349997343E-2</v>
      </c>
      <c r="GD280" s="396">
        <v>5.2451524387926511</v>
      </c>
      <c r="GE280" s="396">
        <v>0.25449221273781741</v>
      </c>
      <c r="GF280" s="396">
        <v>2371.257795015968</v>
      </c>
      <c r="GG280" s="396">
        <v>44.788987026226295</v>
      </c>
      <c r="GH280" s="396">
        <v>8.5562993286131834E-3</v>
      </c>
      <c r="GI280" s="396">
        <v>1.0384215640206751</v>
      </c>
      <c r="GJ280" s="396">
        <v>0.98070857989343818</v>
      </c>
      <c r="GK280" s="396">
        <v>0</v>
      </c>
      <c r="GL280" s="396">
        <v>0</v>
      </c>
      <c r="GM280" s="396">
        <v>0</v>
      </c>
      <c r="GN280" s="396">
        <v>0</v>
      </c>
      <c r="GO280" s="396">
        <v>0</v>
      </c>
      <c r="GP280" s="396">
        <v>2067.4743350630338</v>
      </c>
      <c r="GQ280" s="396">
        <v>2.6416260962041012</v>
      </c>
      <c r="GR280" s="396">
        <v>2.2472812000662666E-2</v>
      </c>
      <c r="GS280" s="396">
        <v>5.2784745862347222</v>
      </c>
      <c r="GT280" s="396">
        <v>0.24895122459558688</v>
      </c>
      <c r="GU280" s="396">
        <v>2067.4124806219484</v>
      </c>
      <c r="GV280" s="396">
        <v>2.6408176959207754</v>
      </c>
      <c r="GW280" s="396">
        <v>2.2471135380272563E-2</v>
      </c>
      <c r="GX280" s="396">
        <v>5.2774474189592535</v>
      </c>
      <c r="GY280" s="396">
        <v>0.81840000000000002</v>
      </c>
      <c r="GZ280" s="396">
        <v>0</v>
      </c>
      <c r="HA280" s="396">
        <v>0</v>
      </c>
      <c r="HB280" s="396">
        <v>0</v>
      </c>
      <c r="HC280" s="396">
        <v>0</v>
      </c>
      <c r="HD280" s="487">
        <v>0</v>
      </c>
    </row>
    <row r="281" spans="2:212" x14ac:dyDescent="0.35">
      <c r="B281" s="396">
        <v>2011</v>
      </c>
      <c r="C281" s="396">
        <v>397.80660420939819</v>
      </c>
      <c r="D281" s="396">
        <v>3.5357604819188055</v>
      </c>
      <c r="E281" s="396">
        <v>2.1120997098878357E-3</v>
      </c>
      <c r="F281" s="396">
        <v>7.8582977622558531E-2</v>
      </c>
      <c r="G281" s="396">
        <v>0.14570606278988119</v>
      </c>
      <c r="H281" s="396">
        <v>445.17818204352596</v>
      </c>
      <c r="I281" s="396">
        <v>3.2907653636261522</v>
      </c>
      <c r="J281" s="396">
        <v>1.6440813196432096E-3</v>
      </c>
      <c r="K281" s="396">
        <v>9.8968593018346873E-2</v>
      </c>
      <c r="L281" s="396">
        <v>0.10126069460205818</v>
      </c>
      <c r="M281" s="396">
        <v>390.03091560519096</v>
      </c>
      <c r="N281" s="396">
        <v>3.5172192731237937</v>
      </c>
      <c r="O281" s="396">
        <v>2.2762213461469333E-3</v>
      </c>
      <c r="P281" s="396">
        <v>8.0313170287467192E-2</v>
      </c>
      <c r="Q281" s="396">
        <v>0.16756797239164559</v>
      </c>
      <c r="R281" s="396">
        <v>0</v>
      </c>
      <c r="S281" s="396">
        <v>0</v>
      </c>
      <c r="T281" s="396">
        <v>0</v>
      </c>
      <c r="U281" s="396">
        <v>0</v>
      </c>
      <c r="V281" s="396">
        <v>0</v>
      </c>
      <c r="W281" s="396">
        <v>480.68001060445386</v>
      </c>
      <c r="X281" s="396">
        <v>3.8319069790562037</v>
      </c>
      <c r="Y281" s="396">
        <v>3.5820146805408274E-3</v>
      </c>
      <c r="Z281" s="396">
        <v>0.10934476073700955</v>
      </c>
      <c r="AA281" s="396">
        <v>0.15349905554082716</v>
      </c>
      <c r="AB281" s="396">
        <v>675.1260212063271</v>
      </c>
      <c r="AC281" s="396">
        <v>1.0774628132029265</v>
      </c>
      <c r="AD281" s="396">
        <v>6.7323118545124109E-3</v>
      </c>
      <c r="AE281" s="396">
        <v>1.3300817653467067</v>
      </c>
      <c r="AF281" s="396">
        <v>9.153226986178542E-2</v>
      </c>
      <c r="AG281" s="396">
        <v>467.59418728156811</v>
      </c>
      <c r="AH281" s="396">
        <v>3.7949755130033509</v>
      </c>
      <c r="AI281" s="396">
        <v>3.7890118522616151E-3</v>
      </c>
      <c r="AJ281" s="396">
        <v>0.11077191362562812</v>
      </c>
      <c r="AK281" s="396">
        <v>0.17394250414114548</v>
      </c>
      <c r="AL281" s="396">
        <v>0</v>
      </c>
      <c r="AM281" s="396">
        <v>0</v>
      </c>
      <c r="AN281" s="396">
        <v>0</v>
      </c>
      <c r="AO281" s="396">
        <v>0</v>
      </c>
      <c r="AP281" s="396">
        <v>0</v>
      </c>
      <c r="AQ281" s="396">
        <v>540.29208843709318</v>
      </c>
      <c r="AR281" s="396">
        <v>3.849025656674502</v>
      </c>
      <c r="AS281" s="396">
        <v>4.4591977342405267E-3</v>
      </c>
      <c r="AT281" s="396">
        <v>0.11875068540177657</v>
      </c>
      <c r="AU281" s="396">
        <v>0.16689473659115725</v>
      </c>
      <c r="AV281" s="396">
        <v>697.57732913502502</v>
      </c>
      <c r="AW281" s="396">
        <v>0.78632339322096678</v>
      </c>
      <c r="AX281" s="396">
        <v>7.1599333209853679E-3</v>
      </c>
      <c r="AY281" s="396">
        <v>1.4356436377106871</v>
      </c>
      <c r="AZ281" s="396">
        <v>8.5463974810150029E-2</v>
      </c>
      <c r="BA281" s="396">
        <v>455.0777438544585</v>
      </c>
      <c r="BB281" s="396">
        <v>3.4538022095621792</v>
      </c>
      <c r="BC281" s="396">
        <v>3.5234884013723203E-3</v>
      </c>
      <c r="BD281" s="396">
        <v>0.1032907368354789</v>
      </c>
      <c r="BE281" s="396">
        <v>0.1642126467533285</v>
      </c>
      <c r="BF281" s="396">
        <v>0</v>
      </c>
      <c r="BG281" s="396">
        <v>0</v>
      </c>
      <c r="BH281" s="396">
        <v>0</v>
      </c>
      <c r="BI281" s="396">
        <v>0</v>
      </c>
      <c r="BJ281" s="396">
        <v>0</v>
      </c>
      <c r="BK281" s="396">
        <v>1930.6596597980915</v>
      </c>
      <c r="BL281" s="396">
        <v>47.486593217474145</v>
      </c>
      <c r="BM281" s="396">
        <v>2.3312312727607983E-2</v>
      </c>
      <c r="BN281" s="396">
        <v>0.46675886230581293</v>
      </c>
      <c r="BO281" s="396">
        <v>0.69808694048771491</v>
      </c>
      <c r="BP281" s="396">
        <v>1957.7594857932916</v>
      </c>
      <c r="BQ281" s="396">
        <v>3.2352312466501063</v>
      </c>
      <c r="BR281" s="396">
        <v>8.8332840172820302E-3</v>
      </c>
      <c r="BS281" s="396">
        <v>5.0606798033395206</v>
      </c>
      <c r="BT281" s="396">
        <v>0.18555225728868424</v>
      </c>
      <c r="BU281" s="396">
        <v>2550.6420307666231</v>
      </c>
      <c r="BV281" s="396">
        <v>45.686527948468033</v>
      </c>
      <c r="BW281" s="396">
        <v>1.0264228503623341E-2</v>
      </c>
      <c r="BX281" s="396">
        <v>1.3515559887556325</v>
      </c>
      <c r="BY281" s="396">
        <v>1.2492689748696868</v>
      </c>
      <c r="BZ281" s="396">
        <v>0</v>
      </c>
      <c r="CA281" s="396">
        <v>0</v>
      </c>
      <c r="CB281" s="396">
        <v>0</v>
      </c>
      <c r="CC281" s="396">
        <v>0</v>
      </c>
      <c r="CD281" s="396">
        <v>0</v>
      </c>
      <c r="CE281" s="396">
        <v>1844.047758227626</v>
      </c>
      <c r="CF281" s="396">
        <v>44.757847664698659</v>
      </c>
      <c r="CG281" s="396">
        <v>2.2842988250423801E-2</v>
      </c>
      <c r="CH281" s="396">
        <v>0.44918089086338925</v>
      </c>
      <c r="CI281" s="396">
        <v>0.66234947682235346</v>
      </c>
      <c r="CJ281" s="396">
        <v>1871.667568000641</v>
      </c>
      <c r="CK281" s="396">
        <v>2.8363477947362097</v>
      </c>
      <c r="CL281" s="396">
        <v>7.8429575772142775E-3</v>
      </c>
      <c r="CM281" s="396">
        <v>4.1006189159956739</v>
      </c>
      <c r="CN281" s="396">
        <v>0.16599592396747187</v>
      </c>
      <c r="CO281" s="396">
        <v>2354.0060792315317</v>
      </c>
      <c r="CP281" s="396">
        <v>44.093069340185068</v>
      </c>
      <c r="CQ281" s="396">
        <v>9.1094597544796544E-3</v>
      </c>
      <c r="CR281" s="396">
        <v>1.1975783834618032</v>
      </c>
      <c r="CS281" s="396">
        <v>1.0872285757468891</v>
      </c>
      <c r="CT281" s="396">
        <v>0</v>
      </c>
      <c r="CU281" s="396">
        <v>0</v>
      </c>
      <c r="CV281" s="396">
        <v>0</v>
      </c>
      <c r="CW281" s="396">
        <v>0</v>
      </c>
      <c r="CX281" s="396">
        <v>0</v>
      </c>
      <c r="CY281" s="396">
        <v>1449.0754774173993</v>
      </c>
      <c r="CZ281" s="396">
        <v>20.50354101793932</v>
      </c>
      <c r="DA281" s="396">
        <v>2.1592135357821927E-2</v>
      </c>
      <c r="DB281" s="396">
        <v>0.3543194907547742</v>
      </c>
      <c r="DC281" s="396">
        <v>0.59177987820000555</v>
      </c>
      <c r="DD281" s="396">
        <v>1449.2242309220824</v>
      </c>
      <c r="DE281" s="396">
        <v>1.510661248854392</v>
      </c>
      <c r="DF281" s="396">
        <v>5.1523962464617962E-2</v>
      </c>
      <c r="DG281" s="396">
        <v>2.9087487935635092</v>
      </c>
      <c r="DH281" s="396">
        <v>0.15568910841301897</v>
      </c>
      <c r="DI281" s="396">
        <v>2117.6108462540624</v>
      </c>
      <c r="DJ281" s="396">
        <v>40.066858509069569</v>
      </c>
      <c r="DK281" s="396">
        <v>8.8827327520794863E-3</v>
      </c>
      <c r="DL281" s="396">
        <v>1.0510386691291216</v>
      </c>
      <c r="DM281" s="396">
        <v>1.0818121948775217</v>
      </c>
      <c r="DN281" s="396">
        <v>0</v>
      </c>
      <c r="DO281" s="396">
        <v>0</v>
      </c>
      <c r="DP281" s="396">
        <v>0</v>
      </c>
      <c r="DQ281" s="396">
        <v>0</v>
      </c>
      <c r="DR281" s="396">
        <v>0</v>
      </c>
      <c r="DS281" s="396">
        <v>2123.3610822060355</v>
      </c>
      <c r="DT281" s="396">
        <v>72.174371933997307</v>
      </c>
      <c r="DU281" s="396">
        <v>9.3102423071205597E-3</v>
      </c>
      <c r="DV281" s="396">
        <v>0.42303106882711461</v>
      </c>
      <c r="DW281" s="396">
        <v>0.73826668648728999</v>
      </c>
      <c r="DX281" s="396">
        <v>2016.0327585963028</v>
      </c>
      <c r="DY281" s="396">
        <v>2.9889248787111553</v>
      </c>
      <c r="DZ281" s="396">
        <v>2.4829276227386527E-2</v>
      </c>
      <c r="EA281" s="396">
        <v>4.8483712640914298</v>
      </c>
      <c r="EB281" s="396">
        <v>0.1765866561054612</v>
      </c>
      <c r="EC281" s="396">
        <v>2669.3149981182905</v>
      </c>
      <c r="ED281" s="396">
        <v>46.575767169849648</v>
      </c>
      <c r="EE281" s="396">
        <v>1.0121982544907138E-2</v>
      </c>
      <c r="EF281" s="396">
        <v>1.5304149915472427</v>
      </c>
      <c r="EG281" s="396">
        <v>1.3015334436472903</v>
      </c>
      <c r="EH281" s="396">
        <v>0</v>
      </c>
      <c r="EI281" s="396">
        <v>0</v>
      </c>
      <c r="EJ281" s="396">
        <v>0</v>
      </c>
      <c r="EK281" s="396">
        <v>0</v>
      </c>
      <c r="EL281" s="396">
        <v>0</v>
      </c>
      <c r="EM281" s="396">
        <v>1184.1714601840797</v>
      </c>
      <c r="EN281" s="396">
        <v>8.6146182879186277</v>
      </c>
      <c r="EO281" s="396">
        <v>2.0706435951273802E-2</v>
      </c>
      <c r="EP281" s="396">
        <v>0.35238493956216482</v>
      </c>
      <c r="EQ281" s="396">
        <v>0.50845745214848548</v>
      </c>
      <c r="ER281" s="396">
        <v>1110.2199852611443</v>
      </c>
      <c r="ES281" s="396">
        <v>1.1637188955266007</v>
      </c>
      <c r="ET281" s="396">
        <v>1.7912413566019098E-2</v>
      </c>
      <c r="EU281" s="396">
        <v>2.3528231180519623</v>
      </c>
      <c r="EV281" s="396">
        <v>0.16828950875707543</v>
      </c>
      <c r="EW281" s="396">
        <v>2421.7303037177207</v>
      </c>
      <c r="EX281" s="396">
        <v>42.385377213561483</v>
      </c>
      <c r="EY281" s="396">
        <v>9.916626226486069E-3</v>
      </c>
      <c r="EZ281" s="396">
        <v>1.2842978196760382</v>
      </c>
      <c r="FA281" s="396">
        <v>1.2067919402959359</v>
      </c>
      <c r="FB281" s="396">
        <v>0</v>
      </c>
      <c r="FC281" s="396">
        <v>0</v>
      </c>
      <c r="FD281" s="396">
        <v>0</v>
      </c>
      <c r="FE281" s="396">
        <v>0</v>
      </c>
      <c r="FF281" s="396">
        <v>0</v>
      </c>
      <c r="FG281" s="396">
        <v>1104.5522745099317</v>
      </c>
      <c r="FH281" s="396">
        <v>6.0559538881638257</v>
      </c>
      <c r="FI281" s="396">
        <v>1.0838429567815448E-2</v>
      </c>
      <c r="FJ281" s="396">
        <v>0.10708927170768065</v>
      </c>
      <c r="FK281" s="396">
        <v>0.2786570025353699</v>
      </c>
      <c r="FL281" s="396">
        <v>1034.3809317888335</v>
      </c>
      <c r="FM281" s="396">
        <v>1.0438741830631415</v>
      </c>
      <c r="FN281" s="396">
        <v>1.6343993281735855E-2</v>
      </c>
      <c r="FO281" s="396">
        <v>1.9811592350448739</v>
      </c>
      <c r="FP281" s="396">
        <v>8.1301866755224148E-2</v>
      </c>
      <c r="FQ281" s="396">
        <v>2149.533916566581</v>
      </c>
      <c r="FR281" s="396">
        <v>39.775369880575013</v>
      </c>
      <c r="FS281" s="396">
        <v>8.8174541190574642E-3</v>
      </c>
      <c r="FT281" s="396">
        <v>1.1770241978355178</v>
      </c>
      <c r="FU281" s="396">
        <v>1.0899198655894573</v>
      </c>
      <c r="FV281" s="396">
        <v>0</v>
      </c>
      <c r="FW281" s="396">
        <v>0</v>
      </c>
      <c r="FX281" s="396">
        <v>0</v>
      </c>
      <c r="FY281" s="396">
        <v>0</v>
      </c>
      <c r="FZ281" s="396">
        <v>0</v>
      </c>
      <c r="GA281" s="396">
        <v>2017.1964297181019</v>
      </c>
      <c r="GB281" s="396">
        <v>3.2094522571116677</v>
      </c>
      <c r="GC281" s="396">
        <v>5.8338406215886471E-2</v>
      </c>
      <c r="GD281" s="396">
        <v>5.2534514865472293</v>
      </c>
      <c r="GE281" s="396">
        <v>0.22484171322160151</v>
      </c>
      <c r="GF281" s="396">
        <v>2371.2712130031791</v>
      </c>
      <c r="GG281" s="396">
        <v>44.789056553082879</v>
      </c>
      <c r="GH281" s="396">
        <v>8.5562978551918679E-3</v>
      </c>
      <c r="GI281" s="396">
        <v>1.038418483857968</v>
      </c>
      <c r="GJ281" s="396">
        <v>0.98071015985313215</v>
      </c>
      <c r="GK281" s="396">
        <v>0</v>
      </c>
      <c r="GL281" s="396">
        <v>0</v>
      </c>
      <c r="GM281" s="396">
        <v>0</v>
      </c>
      <c r="GN281" s="396">
        <v>0</v>
      </c>
      <c r="GO281" s="396">
        <v>0</v>
      </c>
      <c r="GP281" s="396">
        <v>2028.4067947301776</v>
      </c>
      <c r="GQ281" s="396">
        <v>3.4934800765148042</v>
      </c>
      <c r="GR281" s="396">
        <v>4.6256769135436596E-2</v>
      </c>
      <c r="GS281" s="396">
        <v>5.1354500633133062</v>
      </c>
      <c r="GT281" s="396">
        <v>0.2077282646765633</v>
      </c>
      <c r="GU281" s="396">
        <v>2028.3486601303875</v>
      </c>
      <c r="GV281" s="396">
        <v>3.4926238733029842</v>
      </c>
      <c r="GW281" s="396">
        <v>4.6254448488781186E-2</v>
      </c>
      <c r="GX281" s="396">
        <v>5.1344330774924209</v>
      </c>
      <c r="GY281" s="396">
        <v>0.81769999999999998</v>
      </c>
      <c r="GZ281" s="396">
        <v>0</v>
      </c>
      <c r="HA281" s="396">
        <v>0</v>
      </c>
      <c r="HB281" s="396">
        <v>0</v>
      </c>
      <c r="HC281" s="396">
        <v>0</v>
      </c>
      <c r="HD281" s="487">
        <v>0</v>
      </c>
    </row>
    <row r="282" spans="2:212" x14ac:dyDescent="0.35">
      <c r="B282" s="396">
        <v>2012</v>
      </c>
      <c r="C282" s="396">
        <v>365.74898509193872</v>
      </c>
      <c r="D282" s="396">
        <v>3.4812199365469243</v>
      </c>
      <c r="E282" s="396">
        <v>2.4743015044519498E-3</v>
      </c>
      <c r="F282" s="396">
        <v>7.8780404598642245E-2</v>
      </c>
      <c r="G282" s="396">
        <v>0.14180329546617543</v>
      </c>
      <c r="H282" s="396">
        <v>359.19732798645839</v>
      </c>
      <c r="I282" s="396">
        <v>3.293160574450873</v>
      </c>
      <c r="J282" s="396">
        <v>1.9416524940661967E-3</v>
      </c>
      <c r="K282" s="396">
        <v>9.9114401586975279E-2</v>
      </c>
      <c r="L282" s="396">
        <v>0.10028941473612264</v>
      </c>
      <c r="M282" s="396">
        <v>358.64035070413087</v>
      </c>
      <c r="N282" s="396">
        <v>3.4636807361314434</v>
      </c>
      <c r="O282" s="396">
        <v>2.6741900226095261E-3</v>
      </c>
      <c r="P282" s="396">
        <v>8.0515165744003345E-2</v>
      </c>
      <c r="Q282" s="396">
        <v>0.16236993603832175</v>
      </c>
      <c r="R282" s="396">
        <v>0</v>
      </c>
      <c r="S282" s="396">
        <v>0</v>
      </c>
      <c r="T282" s="396">
        <v>0</v>
      </c>
      <c r="U282" s="396">
        <v>0</v>
      </c>
      <c r="V282" s="396">
        <v>0</v>
      </c>
      <c r="W282" s="396">
        <v>459.94104375607265</v>
      </c>
      <c r="X282" s="396">
        <v>3.7864853515142531</v>
      </c>
      <c r="Y282" s="396">
        <v>3.7322719562603956E-3</v>
      </c>
      <c r="Z282" s="396">
        <v>0.11025929219570837</v>
      </c>
      <c r="AA282" s="396">
        <v>0.14973527329018657</v>
      </c>
      <c r="AB282" s="396">
        <v>654.04109692300733</v>
      </c>
      <c r="AC282" s="396">
        <v>1.1998929610589317</v>
      </c>
      <c r="AD282" s="396">
        <v>6.5587583482836073E-3</v>
      </c>
      <c r="AE282" s="396">
        <v>1.2023533491127829</v>
      </c>
      <c r="AF282" s="396">
        <v>9.1507138442055755E-2</v>
      </c>
      <c r="AG282" s="396">
        <v>445.37555662441235</v>
      </c>
      <c r="AH282" s="396">
        <v>3.7425873919721964</v>
      </c>
      <c r="AI282" s="396">
        <v>3.9277513149524445E-3</v>
      </c>
      <c r="AJ282" s="396">
        <v>0.11127057764813579</v>
      </c>
      <c r="AK282" s="396">
        <v>0.16947681184155405</v>
      </c>
      <c r="AL282" s="396">
        <v>0</v>
      </c>
      <c r="AM282" s="396">
        <v>0</v>
      </c>
      <c r="AN282" s="396">
        <v>0</v>
      </c>
      <c r="AO282" s="396">
        <v>0</v>
      </c>
      <c r="AP282" s="396">
        <v>0</v>
      </c>
      <c r="AQ282" s="396">
        <v>518.08151430328746</v>
      </c>
      <c r="AR282" s="396">
        <v>3.7837749632846727</v>
      </c>
      <c r="AS282" s="396">
        <v>4.4899393726386084E-3</v>
      </c>
      <c r="AT282" s="396">
        <v>0.11845850017363944</v>
      </c>
      <c r="AU282" s="396">
        <v>0.16235622445094372</v>
      </c>
      <c r="AV282" s="396">
        <v>688.51538268086176</v>
      </c>
      <c r="AW282" s="396">
        <v>0.85555508983709172</v>
      </c>
      <c r="AX282" s="396">
        <v>7.0355156900550478E-3</v>
      </c>
      <c r="AY282" s="396">
        <v>1.3190963198926986</v>
      </c>
      <c r="AZ282" s="396">
        <v>8.47067370832984E-2</v>
      </c>
      <c r="BA282" s="396">
        <v>433.40927662285497</v>
      </c>
      <c r="BB282" s="396">
        <v>3.405800313006385</v>
      </c>
      <c r="BC282" s="396">
        <v>3.6510325055745608E-3</v>
      </c>
      <c r="BD282" s="396">
        <v>0.10374776671329447</v>
      </c>
      <c r="BE282" s="396">
        <v>0.15989986565655168</v>
      </c>
      <c r="BF282" s="396">
        <v>0</v>
      </c>
      <c r="BG282" s="396">
        <v>0</v>
      </c>
      <c r="BH282" s="396">
        <v>0</v>
      </c>
      <c r="BI282" s="396">
        <v>0</v>
      </c>
      <c r="BJ282" s="396">
        <v>0</v>
      </c>
      <c r="BK282" s="396">
        <v>1930.6531673965183</v>
      </c>
      <c r="BL282" s="396">
        <v>47.465605498347394</v>
      </c>
      <c r="BM282" s="396">
        <v>2.3013889054613577E-2</v>
      </c>
      <c r="BN282" s="396">
        <v>0.46675993652081565</v>
      </c>
      <c r="BO282" s="396">
        <v>0.69609937117424558</v>
      </c>
      <c r="BP282" s="396">
        <v>1952.6779451165464</v>
      </c>
      <c r="BQ282" s="396">
        <v>3.293690593676323</v>
      </c>
      <c r="BR282" s="396">
        <v>8.9982352716535992E-3</v>
      </c>
      <c r="BS282" s="396">
        <v>4.9134820823794492</v>
      </c>
      <c r="BT282" s="396">
        <v>0.17706275237323807</v>
      </c>
      <c r="BU282" s="396">
        <v>2550.6470158617199</v>
      </c>
      <c r="BV282" s="396">
        <v>45.68662334500646</v>
      </c>
      <c r="BW282" s="396">
        <v>1.0264237157999213E-2</v>
      </c>
      <c r="BX282" s="396">
        <v>1.3515608906533829</v>
      </c>
      <c r="BY282" s="396">
        <v>1.2492743309799808</v>
      </c>
      <c r="BZ282" s="396">
        <v>0</v>
      </c>
      <c r="CA282" s="396">
        <v>0</v>
      </c>
      <c r="CB282" s="396">
        <v>0</v>
      </c>
      <c r="CC282" s="396">
        <v>0</v>
      </c>
      <c r="CD282" s="396">
        <v>0</v>
      </c>
      <c r="CE282" s="396">
        <v>1844.0453628228481</v>
      </c>
      <c r="CF282" s="396">
        <v>44.737581344569776</v>
      </c>
      <c r="CG282" s="396">
        <v>2.2554142822970909E-2</v>
      </c>
      <c r="CH282" s="396">
        <v>0.4491814942253789</v>
      </c>
      <c r="CI282" s="396">
        <v>0.65992603087566937</v>
      </c>
      <c r="CJ282" s="396">
        <v>1867.0611961516845</v>
      </c>
      <c r="CK282" s="396">
        <v>2.8894601117466192</v>
      </c>
      <c r="CL282" s="396">
        <v>7.9957516447912193E-3</v>
      </c>
      <c r="CM282" s="396">
        <v>3.9759108341323111</v>
      </c>
      <c r="CN282" s="396">
        <v>0.15875809997685719</v>
      </c>
      <c r="CO282" s="396">
        <v>2354.005710204247</v>
      </c>
      <c r="CP282" s="396">
        <v>44.093134470881999</v>
      </c>
      <c r="CQ282" s="396">
        <v>9.1094699675215284E-3</v>
      </c>
      <c r="CR282" s="396">
        <v>1.1975834631252875</v>
      </c>
      <c r="CS282" s="396">
        <v>1.0872317445771349</v>
      </c>
      <c r="CT282" s="396">
        <v>0</v>
      </c>
      <c r="CU282" s="396">
        <v>0</v>
      </c>
      <c r="CV282" s="396">
        <v>0</v>
      </c>
      <c r="CW282" s="396">
        <v>0</v>
      </c>
      <c r="CX282" s="396">
        <v>0</v>
      </c>
      <c r="CY282" s="396">
        <v>1451.249392820451</v>
      </c>
      <c r="CZ282" s="396">
        <v>20.635120554693444</v>
      </c>
      <c r="DA282" s="396">
        <v>2.1045509450507881E-2</v>
      </c>
      <c r="DB282" s="396">
        <v>0.35493244724523176</v>
      </c>
      <c r="DC282" s="396">
        <v>0.58953157978446746</v>
      </c>
      <c r="DD282" s="396">
        <v>1446.46377978438</v>
      </c>
      <c r="DE282" s="396">
        <v>1.4602052180147567</v>
      </c>
      <c r="DF282" s="396">
        <v>5.1569988334542974E-2</v>
      </c>
      <c r="DG282" s="396">
        <v>2.9289993858739245</v>
      </c>
      <c r="DH282" s="396">
        <v>0.16046320973433906</v>
      </c>
      <c r="DI282" s="396">
        <v>2117.5991266512406</v>
      </c>
      <c r="DJ282" s="396">
        <v>40.066650300083055</v>
      </c>
      <c r="DK282" s="396">
        <v>8.8826986058804791E-3</v>
      </c>
      <c r="DL282" s="396">
        <v>1.0510271772344304</v>
      </c>
      <c r="DM282" s="396">
        <v>1.0818033189342218</v>
      </c>
      <c r="DN282" s="396">
        <v>0</v>
      </c>
      <c r="DO282" s="396">
        <v>0</v>
      </c>
      <c r="DP282" s="396">
        <v>0</v>
      </c>
      <c r="DQ282" s="396">
        <v>0</v>
      </c>
      <c r="DR282" s="396">
        <v>0</v>
      </c>
      <c r="DS282" s="396">
        <v>2123.3610822060355</v>
      </c>
      <c r="DT282" s="396">
        <v>72.174371933997307</v>
      </c>
      <c r="DU282" s="396">
        <v>9.3102423071205597E-3</v>
      </c>
      <c r="DV282" s="396">
        <v>0.42303106882711461</v>
      </c>
      <c r="DW282" s="396">
        <v>0.73826668648728999</v>
      </c>
      <c r="DX282" s="396">
        <v>2028.1621501117256</v>
      </c>
      <c r="DY282" s="396">
        <v>3.2834153346847574</v>
      </c>
      <c r="DZ282" s="396">
        <v>1.7142049843687626E-2</v>
      </c>
      <c r="EA282" s="396">
        <v>4.9398184391574169</v>
      </c>
      <c r="EB282" s="396">
        <v>0.17171031143231905</v>
      </c>
      <c r="EC282" s="396">
        <v>2669.3256142064652</v>
      </c>
      <c r="ED282" s="396">
        <v>46.575872018666644</v>
      </c>
      <c r="EE282" s="396">
        <v>1.0122002173608594E-2</v>
      </c>
      <c r="EF282" s="396">
        <v>1.5304148953531302</v>
      </c>
      <c r="EG282" s="396">
        <v>1.3015378454423085</v>
      </c>
      <c r="EH282" s="396">
        <v>0</v>
      </c>
      <c r="EI282" s="396">
        <v>0</v>
      </c>
      <c r="EJ282" s="396">
        <v>0</v>
      </c>
      <c r="EK282" s="396">
        <v>0</v>
      </c>
      <c r="EL282" s="396">
        <v>0</v>
      </c>
      <c r="EM282" s="396">
        <v>1196.039425617171</v>
      </c>
      <c r="EN282" s="396">
        <v>9.1623162392082005</v>
      </c>
      <c r="EO282" s="396">
        <v>2.0856138842891635E-2</v>
      </c>
      <c r="EP282" s="396">
        <v>0.37117467861612163</v>
      </c>
      <c r="EQ282" s="396">
        <v>0.51507691724286131</v>
      </c>
      <c r="ER282" s="396">
        <v>1130.4374143633031</v>
      </c>
      <c r="ES282" s="396">
        <v>1.2068487346404222</v>
      </c>
      <c r="ET282" s="396">
        <v>1.8602299052975068E-2</v>
      </c>
      <c r="EU282" s="396">
        <v>2.3309799864632108</v>
      </c>
      <c r="EV282" s="396">
        <v>0.16871956286077469</v>
      </c>
      <c r="EW282" s="396">
        <v>2421.7305082976727</v>
      </c>
      <c r="EX282" s="396">
        <v>42.385485161604564</v>
      </c>
      <c r="EY282" s="396">
        <v>9.9166405733569912E-3</v>
      </c>
      <c r="EZ282" s="396">
        <v>1.2842987857913233</v>
      </c>
      <c r="FA282" s="396">
        <v>1.2067912187315173</v>
      </c>
      <c r="FB282" s="396">
        <v>0</v>
      </c>
      <c r="FC282" s="396">
        <v>0</v>
      </c>
      <c r="FD282" s="396">
        <v>0</v>
      </c>
      <c r="FE282" s="396">
        <v>0</v>
      </c>
      <c r="FF282" s="396">
        <v>0</v>
      </c>
      <c r="FG282" s="396">
        <v>1114.7313200056715</v>
      </c>
      <c r="FH282" s="396">
        <v>6.5309324637270203</v>
      </c>
      <c r="FI282" s="396">
        <v>1.0766789545819746E-2</v>
      </c>
      <c r="FJ282" s="396">
        <v>0.11072640483954818</v>
      </c>
      <c r="FK282" s="396">
        <v>0.2787135497896876</v>
      </c>
      <c r="FL282" s="396">
        <v>1053.2539996049773</v>
      </c>
      <c r="FM282" s="396">
        <v>1.083193429455527</v>
      </c>
      <c r="FN282" s="396">
        <v>1.6977170978997959E-2</v>
      </c>
      <c r="FO282" s="396">
        <v>1.9585308446902361</v>
      </c>
      <c r="FP282" s="396">
        <v>8.1509233655935209E-2</v>
      </c>
      <c r="FQ282" s="396">
        <v>2149.5395181851295</v>
      </c>
      <c r="FR282" s="396">
        <v>39.775534627191838</v>
      </c>
      <c r="FS282" s="396">
        <v>8.8174722930433411E-3</v>
      </c>
      <c r="FT282" s="396">
        <v>1.1770331442843021</v>
      </c>
      <c r="FU282" s="396">
        <v>1.0899214319163328</v>
      </c>
      <c r="FV282" s="396">
        <v>0</v>
      </c>
      <c r="FW282" s="396">
        <v>0</v>
      </c>
      <c r="FX282" s="396">
        <v>0</v>
      </c>
      <c r="FY282" s="396">
        <v>0</v>
      </c>
      <c r="FZ282" s="396">
        <v>0</v>
      </c>
      <c r="GA282" s="396">
        <v>2016.1630039597417</v>
      </c>
      <c r="GB282" s="396">
        <v>3.2304880656889368</v>
      </c>
      <c r="GC282" s="396">
        <v>4.6798830871726406E-2</v>
      </c>
      <c r="GD282" s="396">
        <v>4.9219911472881286</v>
      </c>
      <c r="GE282" s="396">
        <v>0.20376791118772805</v>
      </c>
      <c r="GF282" s="396">
        <v>2371.2721401998174</v>
      </c>
      <c r="GG282" s="396">
        <v>44.789115327920634</v>
      </c>
      <c r="GH282" s="396">
        <v>8.5563068859823583E-3</v>
      </c>
      <c r="GI282" s="396">
        <v>1.0384239219448279</v>
      </c>
      <c r="GJ282" s="396">
        <v>0.98070614661082378</v>
      </c>
      <c r="GK282" s="396">
        <v>0</v>
      </c>
      <c r="GL282" s="396">
        <v>0</v>
      </c>
      <c r="GM282" s="396">
        <v>0</v>
      </c>
      <c r="GN282" s="396">
        <v>0</v>
      </c>
      <c r="GO282" s="396">
        <v>0</v>
      </c>
      <c r="GP282" s="396">
        <v>2027.309678601848</v>
      </c>
      <c r="GQ282" s="396">
        <v>3.543627561966987</v>
      </c>
      <c r="GR282" s="396">
        <v>3.5957698569287662E-2</v>
      </c>
      <c r="GS282" s="396">
        <v>4.7748407025261175</v>
      </c>
      <c r="GT282" s="396">
        <v>0.18551012927084343</v>
      </c>
      <c r="GU282" s="396">
        <v>2204.6949121485432</v>
      </c>
      <c r="GV282" s="396">
        <v>43.195227721562809</v>
      </c>
      <c r="GW282" s="396">
        <v>3.59557907525044E-2</v>
      </c>
      <c r="GX282" s="396">
        <v>0.78272186819227563</v>
      </c>
      <c r="GY282" s="396">
        <v>0.78860068815277817</v>
      </c>
      <c r="GZ282" s="396">
        <v>0</v>
      </c>
      <c r="HA282" s="396">
        <v>0</v>
      </c>
      <c r="HB282" s="396">
        <v>0</v>
      </c>
      <c r="HC282" s="396">
        <v>0</v>
      </c>
      <c r="HD282" s="487">
        <v>0</v>
      </c>
    </row>
    <row r="283" spans="2:212" x14ac:dyDescent="0.35">
      <c r="B283" s="396">
        <v>2013</v>
      </c>
      <c r="C283" s="396">
        <v>355.71358768919214</v>
      </c>
      <c r="D283" s="396">
        <v>2.9999646782482765</v>
      </c>
      <c r="E283" s="396">
        <v>2.4305309447979892E-3</v>
      </c>
      <c r="F283" s="396">
        <v>7.4770555787763371E-2</v>
      </c>
      <c r="G283" s="396">
        <v>0.12908716819629476</v>
      </c>
      <c r="H283" s="396">
        <v>349.26736865563538</v>
      </c>
      <c r="I283" s="396">
        <v>2.8529123113779637</v>
      </c>
      <c r="J283" s="396">
        <v>1.9375645525570309E-3</v>
      </c>
      <c r="K283" s="396">
        <v>9.2710543120036681E-2</v>
      </c>
      <c r="L283" s="396">
        <v>9.7130545091434289E-2</v>
      </c>
      <c r="M283" s="396">
        <v>348.77689205269417</v>
      </c>
      <c r="N283" s="396">
        <v>2.9846571822709898</v>
      </c>
      <c r="O283" s="396">
        <v>2.6320145740972799E-3</v>
      </c>
      <c r="P283" s="396">
        <v>7.6423098118916483E-2</v>
      </c>
      <c r="Q283" s="396">
        <v>0.14791796103043642</v>
      </c>
      <c r="R283" s="396">
        <v>0</v>
      </c>
      <c r="S283" s="396">
        <v>0</v>
      </c>
      <c r="T283" s="396">
        <v>0</v>
      </c>
      <c r="U283" s="396">
        <v>0</v>
      </c>
      <c r="V283" s="396">
        <v>0</v>
      </c>
      <c r="W283" s="396">
        <v>445.71696703220317</v>
      </c>
      <c r="X283" s="396">
        <v>3.3216037260388243</v>
      </c>
      <c r="Y283" s="396">
        <v>3.5859995481482771E-3</v>
      </c>
      <c r="Z283" s="396">
        <v>0.10125162927304009</v>
      </c>
      <c r="AA283" s="396">
        <v>0.13800072991432197</v>
      </c>
      <c r="AB283" s="396">
        <v>637.61135228303806</v>
      </c>
      <c r="AC283" s="396">
        <v>1.1870785815717664</v>
      </c>
      <c r="AD283" s="396">
        <v>6.4625475176156699E-3</v>
      </c>
      <c r="AE283" s="396">
        <v>1.4567003632757556</v>
      </c>
      <c r="AF283" s="396">
        <v>9.7004071251968998E-2</v>
      </c>
      <c r="AG283" s="396">
        <v>433.99725320293788</v>
      </c>
      <c r="AH283" s="396">
        <v>3.2901055592784019</v>
      </c>
      <c r="AI283" s="396">
        <v>3.8243443183099903E-3</v>
      </c>
      <c r="AJ283" s="396">
        <v>0.10278726919274686</v>
      </c>
      <c r="AK283" s="396">
        <v>0.15697480775737954</v>
      </c>
      <c r="AL283" s="396">
        <v>0</v>
      </c>
      <c r="AM283" s="396">
        <v>0</v>
      </c>
      <c r="AN283" s="396">
        <v>0</v>
      </c>
      <c r="AO283" s="396">
        <v>0</v>
      </c>
      <c r="AP283" s="396">
        <v>0</v>
      </c>
      <c r="AQ283" s="396">
        <v>465.52171006861556</v>
      </c>
      <c r="AR283" s="396">
        <v>3.188880325207688</v>
      </c>
      <c r="AS283" s="396">
        <v>3.7666252881716615E-3</v>
      </c>
      <c r="AT283" s="396">
        <v>0.10088327172029955</v>
      </c>
      <c r="AU283" s="396">
        <v>0.13766216050308974</v>
      </c>
      <c r="AV283" s="396">
        <v>671.40941236412334</v>
      </c>
      <c r="AW283" s="396">
        <v>0.88644254070248496</v>
      </c>
      <c r="AX283" s="396">
        <v>6.9419711940307939E-3</v>
      </c>
      <c r="AY283" s="396">
        <v>1.6161091940350043</v>
      </c>
      <c r="AZ283" s="396">
        <v>9.1320733265820436E-2</v>
      </c>
      <c r="BA283" s="396">
        <v>422.31278105522296</v>
      </c>
      <c r="BB283" s="396">
        <v>2.9941545417543245</v>
      </c>
      <c r="BC283" s="396">
        <v>3.551635698488125E-3</v>
      </c>
      <c r="BD283" s="396">
        <v>9.5785091139128767E-2</v>
      </c>
      <c r="BE283" s="396">
        <v>0.14794354621197633</v>
      </c>
      <c r="BF283" s="396">
        <v>0</v>
      </c>
      <c r="BG283" s="396">
        <v>0</v>
      </c>
      <c r="BH283" s="396">
        <v>0</v>
      </c>
      <c r="BI283" s="396">
        <v>0</v>
      </c>
      <c r="BJ283" s="396">
        <v>0</v>
      </c>
      <c r="BK283" s="396">
        <v>1930.6463624692169</v>
      </c>
      <c r="BL283" s="396">
        <v>47.194923036857332</v>
      </c>
      <c r="BM283" s="396">
        <v>2.0121212951921454E-2</v>
      </c>
      <c r="BN283" s="396">
        <v>0.44650958783941225</v>
      </c>
      <c r="BO283" s="396">
        <v>0.69198066440962946</v>
      </c>
      <c r="BP283" s="396">
        <v>1924.0448213030318</v>
      </c>
      <c r="BQ283" s="396">
        <v>3.1709134994763191</v>
      </c>
      <c r="BR283" s="396">
        <v>8.3845535803957032E-3</v>
      </c>
      <c r="BS283" s="396">
        <v>4.0480638172714096</v>
      </c>
      <c r="BT283" s="396">
        <v>0.15183216401956987</v>
      </c>
      <c r="BU283" s="396">
        <v>2550.6269804467115</v>
      </c>
      <c r="BV283" s="396">
        <v>45.686248937321274</v>
      </c>
      <c r="BW283" s="396">
        <v>1.0264172269881753E-2</v>
      </c>
      <c r="BX283" s="396">
        <v>1.3515486127212304</v>
      </c>
      <c r="BY283" s="396">
        <v>1.2492657856093978</v>
      </c>
      <c r="BZ283" s="396">
        <v>0</v>
      </c>
      <c r="CA283" s="396">
        <v>0</v>
      </c>
      <c r="CB283" s="396">
        <v>0</v>
      </c>
      <c r="CC283" s="396">
        <v>0</v>
      </c>
      <c r="CD283" s="396">
        <v>0</v>
      </c>
      <c r="CE283" s="396">
        <v>1844.0377512393229</v>
      </c>
      <c r="CF283" s="396">
        <v>44.475578302802617</v>
      </c>
      <c r="CG283" s="396">
        <v>1.9722322746672641E-2</v>
      </c>
      <c r="CH283" s="396">
        <v>0.42958003756742319</v>
      </c>
      <c r="CI283" s="396">
        <v>0.65296662013820683</v>
      </c>
      <c r="CJ283" s="396">
        <v>1841.7316798196166</v>
      </c>
      <c r="CK283" s="396">
        <v>2.685510710259301</v>
      </c>
      <c r="CL283" s="396">
        <v>7.115923337091319E-3</v>
      </c>
      <c r="CM283" s="396">
        <v>3.0390259301014657</v>
      </c>
      <c r="CN283" s="396">
        <v>0.13536090191657271</v>
      </c>
      <c r="CO283" s="396">
        <v>2353.9964460919768</v>
      </c>
      <c r="CP283" s="396">
        <v>44.092872871875912</v>
      </c>
      <c r="CQ283" s="396">
        <v>9.1094095970091805E-3</v>
      </c>
      <c r="CR283" s="396">
        <v>1.1975746946201897</v>
      </c>
      <c r="CS283" s="396">
        <v>1.0872250002732842</v>
      </c>
      <c r="CT283" s="396">
        <v>0</v>
      </c>
      <c r="CU283" s="396">
        <v>0</v>
      </c>
      <c r="CV283" s="396">
        <v>0</v>
      </c>
      <c r="CW283" s="396">
        <v>0</v>
      </c>
      <c r="CX283" s="396">
        <v>0</v>
      </c>
      <c r="CY283" s="396">
        <v>1411.2598625082376</v>
      </c>
      <c r="CZ283" s="396">
        <v>17.39247718513694</v>
      </c>
      <c r="DA283" s="396">
        <v>2.0357268319200386E-2</v>
      </c>
      <c r="DB283" s="396">
        <v>0.32004400146671552</v>
      </c>
      <c r="DC283" s="396">
        <v>0.56382648652390976</v>
      </c>
      <c r="DD283" s="396">
        <v>1357.1241151970469</v>
      </c>
      <c r="DE283" s="396">
        <v>1.0128539588806018</v>
      </c>
      <c r="DF283" s="396">
        <v>4.5697904822798133E-2</v>
      </c>
      <c r="DG283" s="396">
        <v>2.1410949691016401</v>
      </c>
      <c r="DH283" s="396">
        <v>0.14510693034071134</v>
      </c>
      <c r="DI283" s="396">
        <v>2117.6088522538057</v>
      </c>
      <c r="DJ283" s="396">
        <v>40.06684065706964</v>
      </c>
      <c r="DK283" s="396">
        <v>8.8827336175439017E-3</v>
      </c>
      <c r="DL283" s="396">
        <v>1.051033904509973</v>
      </c>
      <c r="DM283" s="396">
        <v>1.0818077681597564</v>
      </c>
      <c r="DN283" s="396">
        <v>0</v>
      </c>
      <c r="DO283" s="396">
        <v>0</v>
      </c>
      <c r="DP283" s="396">
        <v>0</v>
      </c>
      <c r="DQ283" s="396">
        <v>0</v>
      </c>
      <c r="DR283" s="396">
        <v>0</v>
      </c>
      <c r="DS283" s="396">
        <v>2123.3610822060355</v>
      </c>
      <c r="DT283" s="396">
        <v>72.174371933997307</v>
      </c>
      <c r="DU283" s="396">
        <v>9.3102423071205597E-3</v>
      </c>
      <c r="DV283" s="396">
        <v>0.42303106882711461</v>
      </c>
      <c r="DW283" s="396">
        <v>0.73826668648728999</v>
      </c>
      <c r="DX283" s="396">
        <v>1998.6239414459958</v>
      </c>
      <c r="DY283" s="396">
        <v>3.1762094765552171</v>
      </c>
      <c r="DZ283" s="396">
        <v>1.5271685252499346E-2</v>
      </c>
      <c r="EA283" s="396">
        <v>3.9612188229027439</v>
      </c>
      <c r="EB283" s="396">
        <v>0.14405064290047498</v>
      </c>
      <c r="EC283" s="396">
        <v>2669.324652949831</v>
      </c>
      <c r="ED283" s="396">
        <v>46.5760003659178</v>
      </c>
      <c r="EE283" s="396">
        <v>1.0122010718342392E-2</v>
      </c>
      <c r="EF283" s="396">
        <v>1.5304207292436935</v>
      </c>
      <c r="EG283" s="396">
        <v>1.3015391417702797</v>
      </c>
      <c r="EH283" s="396">
        <v>0</v>
      </c>
      <c r="EI283" s="396">
        <v>0</v>
      </c>
      <c r="EJ283" s="396">
        <v>0</v>
      </c>
      <c r="EK283" s="396">
        <v>0</v>
      </c>
      <c r="EL283" s="396">
        <v>0</v>
      </c>
      <c r="EM283" s="396">
        <v>1198.4804312625163</v>
      </c>
      <c r="EN283" s="396">
        <v>8.9577153163547152</v>
      </c>
      <c r="EO283" s="396">
        <v>1.8839804522560774E-2</v>
      </c>
      <c r="EP283" s="396">
        <v>0.33842898790953418</v>
      </c>
      <c r="EQ283" s="396">
        <v>0.49676972984024814</v>
      </c>
      <c r="ER283" s="396">
        <v>1173.586342041081</v>
      </c>
      <c r="ES283" s="396">
        <v>1.2854313225156135</v>
      </c>
      <c r="ET283" s="396">
        <v>1.9482469372506448E-2</v>
      </c>
      <c r="EU283" s="396">
        <v>2.4780708555961257</v>
      </c>
      <c r="EV283" s="396">
        <v>0.17341575853269986</v>
      </c>
      <c r="EW283" s="396">
        <v>2421.7202041429</v>
      </c>
      <c r="EX283" s="396">
        <v>42.385306077890888</v>
      </c>
      <c r="EY283" s="396">
        <v>9.9166234546000376E-3</v>
      </c>
      <c r="EZ283" s="396">
        <v>1.2842990093065145</v>
      </c>
      <c r="FA283" s="396">
        <v>1.2067902076908381</v>
      </c>
      <c r="FB283" s="396">
        <v>0</v>
      </c>
      <c r="FC283" s="396">
        <v>0</v>
      </c>
      <c r="FD283" s="396">
        <v>0</v>
      </c>
      <c r="FE283" s="396">
        <v>0</v>
      </c>
      <c r="FF283" s="396">
        <v>0</v>
      </c>
      <c r="FG283" s="396">
        <v>1116.8637064993577</v>
      </c>
      <c r="FH283" s="396">
        <v>6.608629968333843</v>
      </c>
      <c r="FI283" s="396">
        <v>1.0065455933506448E-2</v>
      </c>
      <c r="FJ283" s="396">
        <v>0.10870012849255119</v>
      </c>
      <c r="FK283" s="396">
        <v>0.27174292887749124</v>
      </c>
      <c r="FL283" s="396">
        <v>1089.985115618636</v>
      </c>
      <c r="FM283" s="396">
        <v>1.1585010161652272</v>
      </c>
      <c r="FN283" s="396">
        <v>1.7778220641751417E-2</v>
      </c>
      <c r="FO283" s="396">
        <v>2.0896674991125419</v>
      </c>
      <c r="FP283" s="396">
        <v>8.6480850630977352E-2</v>
      </c>
      <c r="FQ283" s="396">
        <v>2149.5333675600782</v>
      </c>
      <c r="FR283" s="396">
        <v>39.775530154532753</v>
      </c>
      <c r="FS283" s="396">
        <v>8.8174793509242736E-3</v>
      </c>
      <c r="FT283" s="396">
        <v>1.1770249456709028</v>
      </c>
      <c r="FU283" s="396">
        <v>1.0899275913447193</v>
      </c>
      <c r="FV283" s="396">
        <v>0</v>
      </c>
      <c r="FW283" s="396">
        <v>0</v>
      </c>
      <c r="FX283" s="396">
        <v>0</v>
      </c>
      <c r="FY283" s="396">
        <v>0</v>
      </c>
      <c r="FZ283" s="396">
        <v>0</v>
      </c>
      <c r="GA283" s="396">
        <v>1995.0943081752271</v>
      </c>
      <c r="GB283" s="396">
        <v>3.216639351093086</v>
      </c>
      <c r="GC283" s="396">
        <v>5.2123336759354426E-2</v>
      </c>
      <c r="GD283" s="396">
        <v>4.2415622656184899</v>
      </c>
      <c r="GE283" s="396">
        <v>0.18773632600905579</v>
      </c>
      <c r="GF283" s="396">
        <v>2371.2633229873636</v>
      </c>
      <c r="GG283" s="396">
        <v>44.788975183801888</v>
      </c>
      <c r="GH283" s="396">
        <v>8.5562897687934767E-3</v>
      </c>
      <c r="GI283" s="396">
        <v>1.0384182440738317</v>
      </c>
      <c r="GJ283" s="396">
        <v>0.9807037457434733</v>
      </c>
      <c r="GK283" s="396">
        <v>0</v>
      </c>
      <c r="GL283" s="396">
        <v>0</v>
      </c>
      <c r="GM283" s="396">
        <v>0</v>
      </c>
      <c r="GN283" s="396">
        <v>0</v>
      </c>
      <c r="GO283" s="396">
        <v>0</v>
      </c>
      <c r="GP283" s="396">
        <v>2017.8757536900118</v>
      </c>
      <c r="GQ283" s="396">
        <v>3.632106512427359</v>
      </c>
      <c r="GR283" s="396">
        <v>4.1894306059531282E-2</v>
      </c>
      <c r="GS283" s="396">
        <v>4.2133304231577231</v>
      </c>
      <c r="GT283" s="396">
        <v>0.17049736720050199</v>
      </c>
      <c r="GU283" s="396">
        <v>2204.6963621547916</v>
      </c>
      <c r="GV283" s="396">
        <v>43.195075314448914</v>
      </c>
      <c r="GW283" s="396">
        <v>4.1892264359722362E-2</v>
      </c>
      <c r="GX283" s="396">
        <v>0.78272164715563897</v>
      </c>
      <c r="GY283" s="396">
        <v>0.78859915931809554</v>
      </c>
      <c r="GZ283" s="396">
        <v>0</v>
      </c>
      <c r="HA283" s="396">
        <v>0</v>
      </c>
      <c r="HB283" s="396">
        <v>0</v>
      </c>
      <c r="HC283" s="396">
        <v>0</v>
      </c>
      <c r="HD283" s="487">
        <v>0</v>
      </c>
    </row>
    <row r="284" spans="2:212" x14ac:dyDescent="0.35">
      <c r="B284" s="396">
        <v>2014</v>
      </c>
      <c r="C284" s="396">
        <v>346.03607791389885</v>
      </c>
      <c r="D284" s="396">
        <v>2.999985005023317</v>
      </c>
      <c r="E284" s="396">
        <v>2.6306047474096176E-3</v>
      </c>
      <c r="F284" s="396">
        <v>7.4771551530237373E-2</v>
      </c>
      <c r="G284" s="396">
        <v>0.12770022042615725</v>
      </c>
      <c r="H284" s="396">
        <v>339.722698747999</v>
      </c>
      <c r="I284" s="396">
        <v>2.8529218502626161</v>
      </c>
      <c r="J284" s="396">
        <v>2.0906366727377768E-3</v>
      </c>
      <c r="K284" s="396">
        <v>9.2711140119158403E-2</v>
      </c>
      <c r="L284" s="396">
        <v>9.6985980587148371E-2</v>
      </c>
      <c r="M284" s="396">
        <v>339.30073300532183</v>
      </c>
      <c r="N284" s="396">
        <v>2.9846611105532683</v>
      </c>
      <c r="O284" s="396">
        <v>2.8521698965759614E-3</v>
      </c>
      <c r="P284" s="396">
        <v>7.642373732302439E-2</v>
      </c>
      <c r="Q284" s="396">
        <v>0.14595762626769757</v>
      </c>
      <c r="R284" s="396">
        <v>0</v>
      </c>
      <c r="S284" s="396">
        <v>0</v>
      </c>
      <c r="T284" s="396">
        <v>0</v>
      </c>
      <c r="U284" s="396">
        <v>0</v>
      </c>
      <c r="V284" s="396">
        <v>0</v>
      </c>
      <c r="W284" s="396">
        <v>435.11826349082014</v>
      </c>
      <c r="X284" s="396">
        <v>3.3329476270160572</v>
      </c>
      <c r="Y284" s="396">
        <v>4.3999299794685561E-3</v>
      </c>
      <c r="Z284" s="396">
        <v>0.10184723656258531</v>
      </c>
      <c r="AA284" s="396">
        <v>0.13780396624773028</v>
      </c>
      <c r="AB284" s="396">
        <v>541.705131891581</v>
      </c>
      <c r="AC284" s="396">
        <v>1.5557733149709176</v>
      </c>
      <c r="AD284" s="396">
        <v>2.5127754992912308E-3</v>
      </c>
      <c r="AE284" s="396">
        <v>0.70851052559892247</v>
      </c>
      <c r="AF284" s="396">
        <v>8.1568094798492669E-2</v>
      </c>
      <c r="AG284" s="396">
        <v>422.07846064526831</v>
      </c>
      <c r="AH284" s="396">
        <v>3.2934118492715161</v>
      </c>
      <c r="AI284" s="396">
        <v>4.7118755356501067E-3</v>
      </c>
      <c r="AJ284" s="396">
        <v>0.10303419866744078</v>
      </c>
      <c r="AK284" s="396">
        <v>0.15538069171435681</v>
      </c>
      <c r="AL284" s="396">
        <v>0</v>
      </c>
      <c r="AM284" s="396">
        <v>0</v>
      </c>
      <c r="AN284" s="396">
        <v>0</v>
      </c>
      <c r="AO284" s="396">
        <v>0</v>
      </c>
      <c r="AP284" s="396">
        <v>0</v>
      </c>
      <c r="AQ284" s="396">
        <v>492.45468212994729</v>
      </c>
      <c r="AR284" s="396">
        <v>3.3948741063194445</v>
      </c>
      <c r="AS284" s="396">
        <v>4.9281052341287376E-3</v>
      </c>
      <c r="AT284" s="396">
        <v>0.1091875253907582</v>
      </c>
      <c r="AU284" s="396">
        <v>0.14766227103837454</v>
      </c>
      <c r="AV284" s="396">
        <v>589.59550087416847</v>
      </c>
      <c r="AW284" s="396">
        <v>0.93645363659491088</v>
      </c>
      <c r="AX284" s="396">
        <v>2.1566899597828381E-3</v>
      </c>
      <c r="AY284" s="396">
        <v>0.8958629910093262</v>
      </c>
      <c r="AZ284" s="396">
        <v>6.6156419319393547E-2</v>
      </c>
      <c r="BA284" s="396">
        <v>410.68878213451052</v>
      </c>
      <c r="BB284" s="396">
        <v>2.9971801155544013</v>
      </c>
      <c r="BC284" s="396">
        <v>4.3667635029862369E-3</v>
      </c>
      <c r="BD284" s="396">
        <v>9.6011182160477798E-2</v>
      </c>
      <c r="BE284" s="396">
        <v>0.14646682679823422</v>
      </c>
      <c r="BF284" s="396">
        <v>0</v>
      </c>
      <c r="BG284" s="396">
        <v>0</v>
      </c>
      <c r="BH284" s="396">
        <v>0</v>
      </c>
      <c r="BI284" s="396">
        <v>0</v>
      </c>
      <c r="BJ284" s="396">
        <v>0</v>
      </c>
      <c r="BK284" s="396">
        <v>1910.8757360257409</v>
      </c>
      <c r="BL284" s="396">
        <v>46.053135997312189</v>
      </c>
      <c r="BM284" s="396">
        <v>2.0009863929462135E-2</v>
      </c>
      <c r="BN284" s="396">
        <v>0.44025861586240461</v>
      </c>
      <c r="BO284" s="396">
        <v>0.68420995955358177</v>
      </c>
      <c r="BP284" s="396">
        <v>1830.0817990081514</v>
      </c>
      <c r="BQ284" s="396">
        <v>2.3572293792395826</v>
      </c>
      <c r="BR284" s="396">
        <v>5.3179473294191421E-3</v>
      </c>
      <c r="BS284" s="396">
        <v>3.9492960155047605</v>
      </c>
      <c r="BT284" s="396">
        <v>0.1173110357407513</v>
      </c>
      <c r="BU284" s="396">
        <v>2489.0381338335742</v>
      </c>
      <c r="BV284" s="396">
        <v>45.5234631191557</v>
      </c>
      <c r="BW284" s="396">
        <v>1.0238211160912461E-2</v>
      </c>
      <c r="BX284" s="396">
        <v>1.3511949937708534</v>
      </c>
      <c r="BY284" s="396">
        <v>1.2503902166597454</v>
      </c>
      <c r="BZ284" s="396">
        <v>0</v>
      </c>
      <c r="CA284" s="396">
        <v>0</v>
      </c>
      <c r="CB284" s="396">
        <v>0</v>
      </c>
      <c r="CC284" s="396">
        <v>0</v>
      </c>
      <c r="CD284" s="396">
        <v>0</v>
      </c>
      <c r="CE284" s="396">
        <v>1831.7941071266964</v>
      </c>
      <c r="CF284" s="396">
        <v>43.68112806678073</v>
      </c>
      <c r="CG284" s="396">
        <v>1.9659890623720602E-2</v>
      </c>
      <c r="CH284" s="396">
        <v>0.42485056648983166</v>
      </c>
      <c r="CI284" s="396">
        <v>0.64719470098214549</v>
      </c>
      <c r="CJ284" s="396">
        <v>1751.919106660127</v>
      </c>
      <c r="CK284" s="396">
        <v>2.0096012364407843</v>
      </c>
      <c r="CL284" s="396">
        <v>4.2799785561930398E-3</v>
      </c>
      <c r="CM284" s="396">
        <v>2.9059210001026563</v>
      </c>
      <c r="CN284" s="396">
        <v>0.10659525384676803</v>
      </c>
      <c r="CO284" s="396">
        <v>2293.7652852019905</v>
      </c>
      <c r="CP284" s="396">
        <v>43.979976474936926</v>
      </c>
      <c r="CQ284" s="396">
        <v>9.0848865080468046E-3</v>
      </c>
      <c r="CR284" s="396">
        <v>1.1961835528002993</v>
      </c>
      <c r="CS284" s="396">
        <v>1.0850039900913926</v>
      </c>
      <c r="CT284" s="396">
        <v>0</v>
      </c>
      <c r="CU284" s="396">
        <v>0</v>
      </c>
      <c r="CV284" s="396">
        <v>0</v>
      </c>
      <c r="CW284" s="396">
        <v>0</v>
      </c>
      <c r="CX284" s="396">
        <v>0</v>
      </c>
      <c r="CY284" s="396">
        <v>1394.386985207459</v>
      </c>
      <c r="CZ284" s="396">
        <v>16.512169242235657</v>
      </c>
      <c r="DA284" s="396">
        <v>2.0708639446041552E-2</v>
      </c>
      <c r="DB284" s="396">
        <v>0.31563809125187708</v>
      </c>
      <c r="DC284" s="396">
        <v>0.55639633288907986</v>
      </c>
      <c r="DD284" s="396">
        <v>1373.0216853061731</v>
      </c>
      <c r="DE284" s="396">
        <v>0.76878009318287721</v>
      </c>
      <c r="DF284" s="396">
        <v>1.2484068592044156E-2</v>
      </c>
      <c r="DG284" s="396">
        <v>1.7664172326770671</v>
      </c>
      <c r="DH284" s="396">
        <v>0.11121322397932844</v>
      </c>
      <c r="DI284" s="396">
        <v>2071.0240975030611</v>
      </c>
      <c r="DJ284" s="396">
        <v>39.971663636700931</v>
      </c>
      <c r="DK284" s="396">
        <v>8.8728295551515624E-3</v>
      </c>
      <c r="DL284" s="396">
        <v>1.0504744369828962</v>
      </c>
      <c r="DM284" s="396">
        <v>1.0821128445813084</v>
      </c>
      <c r="DN284" s="396">
        <v>0</v>
      </c>
      <c r="DO284" s="396">
        <v>0</v>
      </c>
      <c r="DP284" s="396">
        <v>0</v>
      </c>
      <c r="DQ284" s="396">
        <v>0</v>
      </c>
      <c r="DR284" s="396">
        <v>0</v>
      </c>
      <c r="DS284" s="396">
        <v>1991.0265338938862</v>
      </c>
      <c r="DT284" s="396">
        <v>29.800403277265882</v>
      </c>
      <c r="DU284" s="396">
        <v>8.5046836315373023E-3</v>
      </c>
      <c r="DV284" s="396">
        <v>0.35145650184318861</v>
      </c>
      <c r="DW284" s="396">
        <v>0.43795509985305542</v>
      </c>
      <c r="DX284" s="396">
        <v>1907.4097156908294</v>
      </c>
      <c r="DY284" s="396">
        <v>2.1518940724540787</v>
      </c>
      <c r="DZ284" s="396">
        <v>8.0158981971467109E-3</v>
      </c>
      <c r="EA284" s="396">
        <v>3.9008600664030189</v>
      </c>
      <c r="EB284" s="396">
        <v>0.11229305714512346</v>
      </c>
      <c r="EC284" s="396">
        <v>2604.5254493067532</v>
      </c>
      <c r="ED284" s="396">
        <v>46.388085967845896</v>
      </c>
      <c r="EE284" s="396">
        <v>1.0088838363405055E-2</v>
      </c>
      <c r="EF284" s="396">
        <v>1.5297935411817734</v>
      </c>
      <c r="EG284" s="396">
        <v>1.303127264224522</v>
      </c>
      <c r="EH284" s="396">
        <v>0</v>
      </c>
      <c r="EI284" s="396">
        <v>0</v>
      </c>
      <c r="EJ284" s="396">
        <v>0</v>
      </c>
      <c r="EK284" s="396">
        <v>0</v>
      </c>
      <c r="EL284" s="396">
        <v>0</v>
      </c>
      <c r="EM284" s="396">
        <v>1173.8345515237186</v>
      </c>
      <c r="EN284" s="396">
        <v>8.5602762191461697</v>
      </c>
      <c r="EO284" s="396">
        <v>1.7410862574122925E-2</v>
      </c>
      <c r="EP284" s="396">
        <v>0.30316779151293438</v>
      </c>
      <c r="EQ284" s="396">
        <v>0.46430108840234097</v>
      </c>
      <c r="ER284" s="396">
        <v>996.85064753910342</v>
      </c>
      <c r="ES284" s="396">
        <v>0.99428404927372704</v>
      </c>
      <c r="ET284" s="396">
        <v>4.1955760277242208E-3</v>
      </c>
      <c r="EU284" s="396">
        <v>1.500988822278569</v>
      </c>
      <c r="EV284" s="396">
        <v>0.13294731034140717</v>
      </c>
      <c r="EW284" s="396">
        <v>2372.4276210370895</v>
      </c>
      <c r="EX284" s="396">
        <v>42.332569904109931</v>
      </c>
      <c r="EY284" s="396">
        <v>9.9063331068213658E-3</v>
      </c>
      <c r="EZ284" s="396">
        <v>1.284125705752565</v>
      </c>
      <c r="FA284" s="396">
        <v>1.2075436874470422</v>
      </c>
      <c r="FB284" s="396">
        <v>0</v>
      </c>
      <c r="FC284" s="396">
        <v>0</v>
      </c>
      <c r="FD284" s="396">
        <v>0</v>
      </c>
      <c r="FE284" s="396">
        <v>0</v>
      </c>
      <c r="FF284" s="396">
        <v>0</v>
      </c>
      <c r="FG284" s="396">
        <v>1095.7513594956879</v>
      </c>
      <c r="FH284" s="396">
        <v>6.3806674517682103</v>
      </c>
      <c r="FI284" s="396">
        <v>9.8067914169928279E-3</v>
      </c>
      <c r="FJ284" s="396">
        <v>0.10465172664611547</v>
      </c>
      <c r="FK284" s="396">
        <v>0.26399544525648577</v>
      </c>
      <c r="FL284" s="396">
        <v>924.89278120157132</v>
      </c>
      <c r="FM284" s="396">
        <v>0.88477312862651813</v>
      </c>
      <c r="FN284" s="396">
        <v>3.6519713842937981E-3</v>
      </c>
      <c r="FO284" s="396">
        <v>1.2074188200526184</v>
      </c>
      <c r="FP284" s="396">
        <v>4.8732745882437735E-2</v>
      </c>
      <c r="FQ284" s="396">
        <v>2103.1731033011251</v>
      </c>
      <c r="FR284" s="396">
        <v>39.733654403023742</v>
      </c>
      <c r="FS284" s="396">
        <v>8.8124485628067167E-3</v>
      </c>
      <c r="FT284" s="396">
        <v>1.176767153351419</v>
      </c>
      <c r="FU284" s="396">
        <v>1.0898588715822843</v>
      </c>
      <c r="FV284" s="396">
        <v>0</v>
      </c>
      <c r="FW284" s="396">
        <v>0</v>
      </c>
      <c r="FX284" s="396">
        <v>0</v>
      </c>
      <c r="FY284" s="396">
        <v>0</v>
      </c>
      <c r="FZ284" s="396">
        <v>0</v>
      </c>
      <c r="GA284" s="396">
        <v>1831.408047371742</v>
      </c>
      <c r="GB284" s="396">
        <v>2.1508518176964517</v>
      </c>
      <c r="GC284" s="396">
        <v>6.5848177449885942E-2</v>
      </c>
      <c r="GD284" s="396">
        <v>4.3240353346600013</v>
      </c>
      <c r="GE284" s="396">
        <v>0.19165315730718829</v>
      </c>
      <c r="GF284" s="396">
        <v>2257.915179817026</v>
      </c>
      <c r="GG284" s="396">
        <v>44.014787729268548</v>
      </c>
      <c r="GH284" s="396">
        <v>8.4993832327415302E-3</v>
      </c>
      <c r="GI284" s="396">
        <v>1.0398438991438683</v>
      </c>
      <c r="GJ284" s="396">
        <v>0.97976048871462762</v>
      </c>
      <c r="GK284" s="396">
        <v>0</v>
      </c>
      <c r="GL284" s="396">
        <v>0</v>
      </c>
      <c r="GM284" s="396">
        <v>0</v>
      </c>
      <c r="GN284" s="396">
        <v>0</v>
      </c>
      <c r="GO284" s="396">
        <v>0</v>
      </c>
      <c r="GP284" s="396">
        <v>1810.973528768322</v>
      </c>
      <c r="GQ284" s="396">
        <v>2.3408707066287464</v>
      </c>
      <c r="GR284" s="396">
        <v>5.8182017064099763E-2</v>
      </c>
      <c r="GS284" s="396">
        <v>4.2635397068475163</v>
      </c>
      <c r="GT284" s="396">
        <v>0.17687858236709689</v>
      </c>
      <c r="GU284" s="396">
        <v>2072.3928072685894</v>
      </c>
      <c r="GV284" s="396">
        <v>42.176137441166844</v>
      </c>
      <c r="GW284" s="396">
        <v>5.8179324631482031E-2</v>
      </c>
      <c r="GX284" s="396">
        <v>0.78465337999758644</v>
      </c>
      <c r="GY284" s="396">
        <v>0.7907608227160664</v>
      </c>
      <c r="GZ284" s="396">
        <v>0</v>
      </c>
      <c r="HA284" s="396">
        <v>0</v>
      </c>
      <c r="HB284" s="396">
        <v>0</v>
      </c>
      <c r="HC284" s="396">
        <v>0</v>
      </c>
      <c r="HD284" s="487">
        <v>0</v>
      </c>
    </row>
    <row r="285" spans="2:212" x14ac:dyDescent="0.35">
      <c r="B285" s="396">
        <v>2015</v>
      </c>
      <c r="C285" s="396">
        <v>331.25039887454943</v>
      </c>
      <c r="D285" s="396">
        <v>2.5269084239530062</v>
      </c>
      <c r="E285" s="396">
        <v>2.2812988187763776E-3</v>
      </c>
      <c r="F285" s="396">
        <v>7.0069286243475803E-2</v>
      </c>
      <c r="G285" s="396">
        <v>0.11468163567700457</v>
      </c>
      <c r="H285" s="396">
        <v>325.08880900214842</v>
      </c>
      <c r="I285" s="396">
        <v>2.3639945970092104</v>
      </c>
      <c r="J285" s="396">
        <v>1.8122912722554297E-3</v>
      </c>
      <c r="K285" s="396">
        <v>8.556906894131161E-2</v>
      </c>
      <c r="L285" s="396">
        <v>9.0821297143221791E-2</v>
      </c>
      <c r="M285" s="396">
        <v>324.78153890255845</v>
      </c>
      <c r="N285" s="396">
        <v>2.5131888870308878</v>
      </c>
      <c r="O285" s="396">
        <v>2.4739829435512766E-3</v>
      </c>
      <c r="P285" s="396">
        <v>7.1623707030410155E-2</v>
      </c>
      <c r="Q285" s="396">
        <v>0.13114067986909056</v>
      </c>
      <c r="R285" s="396">
        <v>0</v>
      </c>
      <c r="S285" s="396">
        <v>0</v>
      </c>
      <c r="T285" s="396">
        <v>0</v>
      </c>
      <c r="U285" s="396">
        <v>0</v>
      </c>
      <c r="V285" s="396">
        <v>0</v>
      </c>
      <c r="W285" s="396">
        <v>419.1712926249009</v>
      </c>
      <c r="X285" s="396">
        <v>2.8351754559873119</v>
      </c>
      <c r="Y285" s="396">
        <v>4.5487212529738297E-3</v>
      </c>
      <c r="Z285" s="396">
        <v>8.6213570578905635E-2</v>
      </c>
      <c r="AA285" s="396">
        <v>0.1211763977002379</v>
      </c>
      <c r="AB285" s="396">
        <v>548.05567384629171</v>
      </c>
      <c r="AC285" s="396">
        <v>1.193267140327678</v>
      </c>
      <c r="AD285" s="396">
        <v>2.3312862810139631E-3</v>
      </c>
      <c r="AE285" s="396">
        <v>0.64022756647316792</v>
      </c>
      <c r="AF285" s="396">
        <v>7.0627339354954383E-2</v>
      </c>
      <c r="AG285" s="396">
        <v>405.02090348608334</v>
      </c>
      <c r="AH285" s="396">
        <v>2.816293332031949</v>
      </c>
      <c r="AI285" s="396">
        <v>4.8768646397605456E-3</v>
      </c>
      <c r="AJ285" s="396">
        <v>8.6990223350088644E-2</v>
      </c>
      <c r="AK285" s="396">
        <v>0.13729279521090559</v>
      </c>
      <c r="AL285" s="396">
        <v>0</v>
      </c>
      <c r="AM285" s="396">
        <v>0</v>
      </c>
      <c r="AN285" s="396">
        <v>0</v>
      </c>
      <c r="AO285" s="396">
        <v>0</v>
      </c>
      <c r="AP285" s="396">
        <v>0</v>
      </c>
      <c r="AQ285" s="396">
        <v>501.75908103221678</v>
      </c>
      <c r="AR285" s="396">
        <v>2.6709170834794267</v>
      </c>
      <c r="AS285" s="396">
        <v>5.2775770238972647E-3</v>
      </c>
      <c r="AT285" s="396">
        <v>9.6411951733201676E-2</v>
      </c>
      <c r="AU285" s="396">
        <v>0.12463715226843934</v>
      </c>
      <c r="AV285" s="396">
        <v>585.32003265149331</v>
      </c>
      <c r="AW285" s="396">
        <v>0.83374447805627583</v>
      </c>
      <c r="AX285" s="396">
        <v>2.0390497455104197E-3</v>
      </c>
      <c r="AY285" s="396">
        <v>0.73727852203975797</v>
      </c>
      <c r="AZ285" s="396">
        <v>5.9805951694996633E-2</v>
      </c>
      <c r="BA285" s="396">
        <v>394.064844966728</v>
      </c>
      <c r="BB285" s="396">
        <v>2.5634263061022229</v>
      </c>
      <c r="BC285" s="396">
        <v>4.5142234178111289E-3</v>
      </c>
      <c r="BD285" s="396">
        <v>8.0991080277502486E-2</v>
      </c>
      <c r="BE285" s="396">
        <v>0.12904544810986832</v>
      </c>
      <c r="BF285" s="396">
        <v>0</v>
      </c>
      <c r="BG285" s="396">
        <v>0</v>
      </c>
      <c r="BH285" s="396">
        <v>0</v>
      </c>
      <c r="BI285" s="396">
        <v>0</v>
      </c>
      <c r="BJ285" s="396">
        <v>0</v>
      </c>
      <c r="BK285" s="396">
        <v>1909.4436882800962</v>
      </c>
      <c r="BL285" s="396">
        <v>19.893175697199617</v>
      </c>
      <c r="BM285" s="396">
        <v>1.9432538878109525E-2</v>
      </c>
      <c r="BN285" s="396">
        <v>0.37465972604326542</v>
      </c>
      <c r="BO285" s="396">
        <v>0.4416520662593032</v>
      </c>
      <c r="BP285" s="396">
        <v>1839.3079389603145</v>
      </c>
      <c r="BQ285" s="396">
        <v>2.386666421428878</v>
      </c>
      <c r="BR285" s="396">
        <v>5.2840834544194918E-3</v>
      </c>
      <c r="BS285" s="396">
        <v>3.9971552416511864</v>
      </c>
      <c r="BT285" s="396">
        <v>0.11702011562961737</v>
      </c>
      <c r="BU285" s="396">
        <v>2014.3441076344336</v>
      </c>
      <c r="BV285" s="396">
        <v>19.468699973385345</v>
      </c>
      <c r="BW285" s="396">
        <v>5.8798129823906314E-3</v>
      </c>
      <c r="BX285" s="396">
        <v>0.9243865719131964</v>
      </c>
      <c r="BY285" s="396">
        <v>0.48544734469156792</v>
      </c>
      <c r="BZ285" s="396">
        <v>0</v>
      </c>
      <c r="CA285" s="396">
        <v>0</v>
      </c>
      <c r="CB285" s="396">
        <v>0</v>
      </c>
      <c r="CC285" s="396">
        <v>0</v>
      </c>
      <c r="CD285" s="396">
        <v>0</v>
      </c>
      <c r="CE285" s="396">
        <v>1830.5136467945902</v>
      </c>
      <c r="CF285" s="396">
        <v>18.947479778005633</v>
      </c>
      <c r="CG285" s="396">
        <v>1.9101769119346385E-2</v>
      </c>
      <c r="CH285" s="396">
        <v>0.36153182624546326</v>
      </c>
      <c r="CI285" s="396">
        <v>0.42627720000651009</v>
      </c>
      <c r="CJ285" s="396">
        <v>1759.7709925768297</v>
      </c>
      <c r="CK285" s="396">
        <v>1.9410088124305713</v>
      </c>
      <c r="CL285" s="396">
        <v>3.7983036691355441E-3</v>
      </c>
      <c r="CM285" s="396">
        <v>2.630057086467668</v>
      </c>
      <c r="CN285" s="396">
        <v>0.10464795759448486</v>
      </c>
      <c r="CO285" s="396">
        <v>1888.0564361298389</v>
      </c>
      <c r="CP285" s="396">
        <v>18.611331874804662</v>
      </c>
      <c r="CQ285" s="396">
        <v>5.2201276956735281E-3</v>
      </c>
      <c r="CR285" s="396">
        <v>0.82478189043175432</v>
      </c>
      <c r="CS285" s="396">
        <v>0.43124347010760372</v>
      </c>
      <c r="CT285" s="396">
        <v>0</v>
      </c>
      <c r="CU285" s="396">
        <v>0</v>
      </c>
      <c r="CV285" s="396">
        <v>0</v>
      </c>
      <c r="CW285" s="396">
        <v>0</v>
      </c>
      <c r="CX285" s="396">
        <v>0</v>
      </c>
      <c r="CY285" s="396">
        <v>1393.4690824300055</v>
      </c>
      <c r="CZ285" s="396">
        <v>7.7412702638043216</v>
      </c>
      <c r="DA285" s="396">
        <v>1.9861240746294303E-2</v>
      </c>
      <c r="DB285" s="396">
        <v>0.26930953961445281</v>
      </c>
      <c r="DC285" s="396">
        <v>0.38061413942643035</v>
      </c>
      <c r="DD285" s="396">
        <v>1374.3630797191602</v>
      </c>
      <c r="DE285" s="396">
        <v>0.83564698118718694</v>
      </c>
      <c r="DF285" s="396">
        <v>1.1744864069582526E-2</v>
      </c>
      <c r="DG285" s="396">
        <v>1.6072676525633676</v>
      </c>
      <c r="DH285" s="396">
        <v>0.10191168038772354</v>
      </c>
      <c r="DI285" s="396">
        <v>1660.8788437287808</v>
      </c>
      <c r="DJ285" s="396">
        <v>17.085459307401301</v>
      </c>
      <c r="DK285" s="396">
        <v>5.1651275584440777E-3</v>
      </c>
      <c r="DL285" s="396">
        <v>0.73893297119022205</v>
      </c>
      <c r="DM285" s="396">
        <v>0.42121253273838394</v>
      </c>
      <c r="DN285" s="396">
        <v>0</v>
      </c>
      <c r="DO285" s="396">
        <v>0</v>
      </c>
      <c r="DP285" s="396">
        <v>0</v>
      </c>
      <c r="DQ285" s="396">
        <v>0</v>
      </c>
      <c r="DR285" s="396">
        <v>0</v>
      </c>
      <c r="DS285" s="396">
        <v>1991.0265338938862</v>
      </c>
      <c r="DT285" s="396">
        <v>29.800403277265882</v>
      </c>
      <c r="DU285" s="396">
        <v>8.5046836315373023E-3</v>
      </c>
      <c r="DV285" s="396">
        <v>0.35145650184318861</v>
      </c>
      <c r="DW285" s="396">
        <v>0.43795509985305542</v>
      </c>
      <c r="DX285" s="396">
        <v>1912.2864530767699</v>
      </c>
      <c r="DY285" s="396">
        <v>2.19651842083938</v>
      </c>
      <c r="DZ285" s="396">
        <v>7.6194720906418746E-3</v>
      </c>
      <c r="EA285" s="396">
        <v>3.8965913527769382</v>
      </c>
      <c r="EB285" s="396">
        <v>0.10972646839984383</v>
      </c>
      <c r="EC285" s="396">
        <v>2113.556648854782</v>
      </c>
      <c r="ED285" s="396">
        <v>19.813563710835432</v>
      </c>
      <c r="EE285" s="396">
        <v>5.8005049316164868E-3</v>
      </c>
      <c r="EF285" s="396">
        <v>1.0149537440267413</v>
      </c>
      <c r="EG285" s="396">
        <v>0.51199359713754367</v>
      </c>
      <c r="EH285" s="396">
        <v>0</v>
      </c>
      <c r="EI285" s="396">
        <v>0</v>
      </c>
      <c r="EJ285" s="396">
        <v>0</v>
      </c>
      <c r="EK285" s="396">
        <v>0</v>
      </c>
      <c r="EL285" s="396">
        <v>0</v>
      </c>
      <c r="EM285" s="396">
        <v>1160.7284243863817</v>
      </c>
      <c r="EN285" s="396">
        <v>4.1166182809888276</v>
      </c>
      <c r="EO285" s="396">
        <v>1.5970792645376968E-2</v>
      </c>
      <c r="EP285" s="396">
        <v>0.24059294448843144</v>
      </c>
      <c r="EQ285" s="396">
        <v>0.30595495733262956</v>
      </c>
      <c r="ER285" s="396">
        <v>974.27200714046637</v>
      </c>
      <c r="ES285" s="396">
        <v>0.96170181114954068</v>
      </c>
      <c r="ET285" s="396">
        <v>3.9484919483803796E-3</v>
      </c>
      <c r="EU285" s="396">
        <v>1.2379114135892</v>
      </c>
      <c r="EV285" s="396">
        <v>0.12610956153073746</v>
      </c>
      <c r="EW285" s="396">
        <v>1914.0416659932441</v>
      </c>
      <c r="EX285" s="396">
        <v>18.445202269164255</v>
      </c>
      <c r="EY285" s="396">
        <v>5.719780841400934E-3</v>
      </c>
      <c r="EZ285" s="396">
        <v>0.87614549157144472</v>
      </c>
      <c r="FA285" s="396">
        <v>0.46889192377935446</v>
      </c>
      <c r="FB285" s="396">
        <v>0</v>
      </c>
      <c r="FC285" s="396">
        <v>0</v>
      </c>
      <c r="FD285" s="396">
        <v>0</v>
      </c>
      <c r="FE285" s="396">
        <v>0</v>
      </c>
      <c r="FF285" s="396">
        <v>0</v>
      </c>
      <c r="FG285" s="396">
        <v>1084.3698401179329</v>
      </c>
      <c r="FH285" s="396">
        <v>2.6602803182975583</v>
      </c>
      <c r="FI285" s="396">
        <v>9.6914374720275913E-3</v>
      </c>
      <c r="FJ285" s="396">
        <v>8.5492402883591806E-2</v>
      </c>
      <c r="FK285" s="396">
        <v>0.17721168507050944</v>
      </c>
      <c r="FL285" s="396">
        <v>903.87698819907644</v>
      </c>
      <c r="FM285" s="396">
        <v>0.85909440738840437</v>
      </c>
      <c r="FN285" s="396">
        <v>3.4355812809988033E-3</v>
      </c>
      <c r="FO285" s="396">
        <v>0.97043890029074742</v>
      </c>
      <c r="FP285" s="396">
        <v>4.2319832820249703E-2</v>
      </c>
      <c r="FQ285" s="396">
        <v>1691.0547861684522</v>
      </c>
      <c r="FR285" s="396">
        <v>16.913683477049037</v>
      </c>
      <c r="FS285" s="396">
        <v>5.0437766745057054E-3</v>
      </c>
      <c r="FT285" s="396">
        <v>0.80105681851174415</v>
      </c>
      <c r="FU285" s="396">
        <v>0.42576256423656478</v>
      </c>
      <c r="FV285" s="396">
        <v>0</v>
      </c>
      <c r="FW285" s="396">
        <v>0</v>
      </c>
      <c r="FX285" s="396">
        <v>0</v>
      </c>
      <c r="FY285" s="396">
        <v>0</v>
      </c>
      <c r="FZ285" s="396">
        <v>0</v>
      </c>
      <c r="GA285" s="396">
        <v>1834.8800855198369</v>
      </c>
      <c r="GB285" s="396">
        <v>2.2672568121162864</v>
      </c>
      <c r="GC285" s="396">
        <v>7.5058300659337426E-2</v>
      </c>
      <c r="GD285" s="396">
        <v>4.552174056298119</v>
      </c>
      <c r="GE285" s="396">
        <v>0.20391831684074493</v>
      </c>
      <c r="GF285" s="396">
        <v>1893.2156263703432</v>
      </c>
      <c r="GG285" s="396">
        <v>18.554049951571166</v>
      </c>
      <c r="GH285" s="396">
        <v>4.8714346981751245E-3</v>
      </c>
      <c r="GI285" s="396">
        <v>0.73403655533656842</v>
      </c>
      <c r="GJ285" s="396">
        <v>0.39207598267163329</v>
      </c>
      <c r="GK285" s="396">
        <v>0</v>
      </c>
      <c r="GL285" s="396">
        <v>0</v>
      </c>
      <c r="GM285" s="396">
        <v>0</v>
      </c>
      <c r="GN285" s="396">
        <v>0</v>
      </c>
      <c r="GO285" s="396">
        <v>0</v>
      </c>
      <c r="GP285" s="396">
        <v>1811.280997861121</v>
      </c>
      <c r="GQ285" s="396">
        <v>2.3975138180047018</v>
      </c>
      <c r="GR285" s="396">
        <v>6.6885495859892841E-2</v>
      </c>
      <c r="GS285" s="396">
        <v>4.47003451854048</v>
      </c>
      <c r="GT285" s="396">
        <v>0.19008650812138667</v>
      </c>
      <c r="GU285" s="396">
        <v>1787.8111602386086</v>
      </c>
      <c r="GV285" s="396">
        <v>17.79433849871215</v>
      </c>
      <c r="GW285" s="396">
        <v>6.6854080557581644E-2</v>
      </c>
      <c r="GX285" s="396">
        <v>0.62071381228448463</v>
      </c>
      <c r="GY285" s="396">
        <v>0.33816479432171886</v>
      </c>
      <c r="GZ285" s="396">
        <v>0</v>
      </c>
      <c r="HA285" s="396">
        <v>0</v>
      </c>
      <c r="HB285" s="396">
        <v>0</v>
      </c>
      <c r="HC285" s="396">
        <v>0</v>
      </c>
      <c r="HD285" s="487">
        <v>0</v>
      </c>
    </row>
    <row r="286" spans="2:212" x14ac:dyDescent="0.35">
      <c r="B286" s="396">
        <v>2016</v>
      </c>
      <c r="C286" s="396">
        <v>312.58842645398613</v>
      </c>
      <c r="D286" s="396">
        <v>2.5235108620503559</v>
      </c>
      <c r="E286" s="396">
        <v>2.4341436235228225E-3</v>
      </c>
      <c r="F286" s="396">
        <v>6.9876808275403379E-2</v>
      </c>
      <c r="G286" s="396">
        <v>0.1067010113798465</v>
      </c>
      <c r="H286" s="396">
        <v>306.69768487746484</v>
      </c>
      <c r="I286" s="396">
        <v>2.3619177058428655</v>
      </c>
      <c r="J286" s="396">
        <v>1.929951091755042E-3</v>
      </c>
      <c r="K286" s="396">
        <v>8.5431692145911259E-2</v>
      </c>
      <c r="L286" s="396">
        <v>9.0200163358167745E-2</v>
      </c>
      <c r="M286" s="396">
        <v>306.51176345909289</v>
      </c>
      <c r="N286" s="396">
        <v>2.5098452734209409</v>
      </c>
      <c r="O286" s="396">
        <v>2.6420570156846122E-3</v>
      </c>
      <c r="P286" s="396">
        <v>7.1426451886392545E-2</v>
      </c>
      <c r="Q286" s="396">
        <v>0.12075720644340822</v>
      </c>
      <c r="R286" s="396">
        <v>0</v>
      </c>
      <c r="S286" s="396">
        <v>0</v>
      </c>
      <c r="T286" s="396">
        <v>0</v>
      </c>
      <c r="U286" s="396">
        <v>0</v>
      </c>
      <c r="V286" s="396">
        <v>0</v>
      </c>
      <c r="W286" s="396">
        <v>398.00110739394842</v>
      </c>
      <c r="X286" s="396">
        <v>2.8349750371070033</v>
      </c>
      <c r="Y286" s="396">
        <v>4.986576338062247E-3</v>
      </c>
      <c r="Z286" s="396">
        <v>8.6277388225331417E-2</v>
      </c>
      <c r="AA286" s="396">
        <v>0.11446172744150121</v>
      </c>
      <c r="AB286" s="396">
        <v>549.21384001138608</v>
      </c>
      <c r="AC286" s="396">
        <v>1.1260777395746719</v>
      </c>
      <c r="AD286" s="396">
        <v>2.3510940320756271E-3</v>
      </c>
      <c r="AE286" s="396">
        <v>0.66441642883360674</v>
      </c>
      <c r="AF286" s="396">
        <v>6.910380008539517E-2</v>
      </c>
      <c r="AG286" s="396">
        <v>383.70983855237631</v>
      </c>
      <c r="AH286" s="396">
        <v>2.8157411136096626</v>
      </c>
      <c r="AI286" s="396">
        <v>5.3626008379453593E-3</v>
      </c>
      <c r="AJ286" s="396">
        <v>8.6951145195950208E-2</v>
      </c>
      <c r="AK286" s="396">
        <v>0.12794050041517141</v>
      </c>
      <c r="AL286" s="396">
        <v>0</v>
      </c>
      <c r="AM286" s="396">
        <v>0</v>
      </c>
      <c r="AN286" s="396">
        <v>0</v>
      </c>
      <c r="AO286" s="396">
        <v>0</v>
      </c>
      <c r="AP286" s="396">
        <v>0</v>
      </c>
      <c r="AQ286" s="396">
        <v>482.05548518490923</v>
      </c>
      <c r="AR286" s="396">
        <v>2.6712283403290034</v>
      </c>
      <c r="AS286" s="396">
        <v>5.6113967331462298E-3</v>
      </c>
      <c r="AT286" s="396">
        <v>9.6542524567634472E-2</v>
      </c>
      <c r="AU286" s="396">
        <v>0.11855301393338798</v>
      </c>
      <c r="AV286" s="396">
        <v>579.85475831106874</v>
      </c>
      <c r="AW286" s="396">
        <v>0.85671542651772825</v>
      </c>
      <c r="AX286" s="396">
        <v>2.0860863918204433E-3</v>
      </c>
      <c r="AY286" s="396">
        <v>0.72781268625956685</v>
      </c>
      <c r="AZ286" s="396">
        <v>6.0229041814068102E-2</v>
      </c>
      <c r="BA286" s="396">
        <v>373.29018262417617</v>
      </c>
      <c r="BB286" s="396">
        <v>2.562922222615216</v>
      </c>
      <c r="BC286" s="396">
        <v>4.9603626545939002E-3</v>
      </c>
      <c r="BD286" s="396">
        <v>8.0955328405192248E-2</v>
      </c>
      <c r="BE286" s="396">
        <v>0.12005800587132599</v>
      </c>
      <c r="BF286" s="396">
        <v>0</v>
      </c>
      <c r="BG286" s="396">
        <v>0</v>
      </c>
      <c r="BH286" s="396">
        <v>0</v>
      </c>
      <c r="BI286" s="396">
        <v>0</v>
      </c>
      <c r="BJ286" s="396">
        <v>0</v>
      </c>
      <c r="BK286" s="396">
        <v>1812.702568187671</v>
      </c>
      <c r="BL286" s="396">
        <v>19.817890448722309</v>
      </c>
      <c r="BM286" s="396">
        <v>1.9484974761121317E-2</v>
      </c>
      <c r="BN286" s="396">
        <v>0.37432266001635883</v>
      </c>
      <c r="BO286" s="396">
        <v>0.4299029007030592</v>
      </c>
      <c r="BP286" s="396">
        <v>1826.2147096418323</v>
      </c>
      <c r="BQ286" s="396">
        <v>2.3356900017502635</v>
      </c>
      <c r="BR286" s="396">
        <v>5.3149149000493254E-3</v>
      </c>
      <c r="BS286" s="396">
        <v>3.8892613356104446</v>
      </c>
      <c r="BT286" s="396">
        <v>0.11604885888099796</v>
      </c>
      <c r="BU286" s="396">
        <v>2014.3365304300241</v>
      </c>
      <c r="BV286" s="396">
        <v>19.468590685215588</v>
      </c>
      <c r="BW286" s="396">
        <v>5.8797776433653038E-3</v>
      </c>
      <c r="BX286" s="396">
        <v>0.92438218266655159</v>
      </c>
      <c r="BY286" s="396">
        <v>0.48544384918920475</v>
      </c>
      <c r="BZ286" s="396">
        <v>0</v>
      </c>
      <c r="CA286" s="396">
        <v>0</v>
      </c>
      <c r="CB286" s="396">
        <v>0</v>
      </c>
      <c r="CC286" s="396">
        <v>0</v>
      </c>
      <c r="CD286" s="396">
        <v>0</v>
      </c>
      <c r="CE286" s="396">
        <v>1737.8112482332106</v>
      </c>
      <c r="CF286" s="396">
        <v>18.874729744073925</v>
      </c>
      <c r="CG286" s="396">
        <v>1.9155209305183885E-2</v>
      </c>
      <c r="CH286" s="396">
        <v>0.36120437772700098</v>
      </c>
      <c r="CI286" s="396">
        <v>0.41304602870439172</v>
      </c>
      <c r="CJ286" s="396">
        <v>1748.3089727703534</v>
      </c>
      <c r="CK286" s="396">
        <v>1.8986249716866748</v>
      </c>
      <c r="CL286" s="396">
        <v>3.8569077851651496E-3</v>
      </c>
      <c r="CM286" s="396">
        <v>2.5614454674252416</v>
      </c>
      <c r="CN286" s="396">
        <v>0.10381785760284955</v>
      </c>
      <c r="CO286" s="396">
        <v>1888.0589702812092</v>
      </c>
      <c r="CP286" s="396">
        <v>18.611364441463103</v>
      </c>
      <c r="CQ286" s="396">
        <v>5.2201361200509503E-3</v>
      </c>
      <c r="CR286" s="396">
        <v>0.82478500418309131</v>
      </c>
      <c r="CS286" s="396">
        <v>0.43124354635694206</v>
      </c>
      <c r="CT286" s="396">
        <v>0</v>
      </c>
      <c r="CU286" s="396">
        <v>0</v>
      </c>
      <c r="CV286" s="396">
        <v>0</v>
      </c>
      <c r="CW286" s="396">
        <v>0</v>
      </c>
      <c r="CX286" s="396">
        <v>0</v>
      </c>
      <c r="CY286" s="396">
        <v>1324.0085472380199</v>
      </c>
      <c r="CZ286" s="396">
        <v>7.7412675876162966</v>
      </c>
      <c r="DA286" s="396">
        <v>1.9861273209967986E-2</v>
      </c>
      <c r="DB286" s="396">
        <v>0.2693090666738262</v>
      </c>
      <c r="DC286" s="396">
        <v>0.36735593118620563</v>
      </c>
      <c r="DD286" s="396">
        <v>1368.3008521538945</v>
      </c>
      <c r="DE286" s="396">
        <v>0.72890555268892065</v>
      </c>
      <c r="DF286" s="396">
        <v>1.175093046900523E-2</v>
      </c>
      <c r="DG286" s="396">
        <v>1.5391489045553035</v>
      </c>
      <c r="DH286" s="396">
        <v>9.9856091531485308E-2</v>
      </c>
      <c r="DI286" s="396">
        <v>1660.8832464861728</v>
      </c>
      <c r="DJ286" s="396">
        <v>17.085565222281438</v>
      </c>
      <c r="DK286" s="396">
        <v>5.1651501963806655E-3</v>
      </c>
      <c r="DL286" s="396">
        <v>0.73893577400055477</v>
      </c>
      <c r="DM286" s="396">
        <v>0.4212144798947865</v>
      </c>
      <c r="DN286" s="396">
        <v>0</v>
      </c>
      <c r="DO286" s="396">
        <v>0</v>
      </c>
      <c r="DP286" s="396">
        <v>0</v>
      </c>
      <c r="DQ286" s="396">
        <v>0</v>
      </c>
      <c r="DR286" s="396">
        <v>0</v>
      </c>
      <c r="DS286" s="396">
        <v>1991.0265338938862</v>
      </c>
      <c r="DT286" s="396">
        <v>29.800403277265882</v>
      </c>
      <c r="DU286" s="396">
        <v>8.5046836315373023E-3</v>
      </c>
      <c r="DV286" s="396">
        <v>0.35145650184318861</v>
      </c>
      <c r="DW286" s="396">
        <v>0.43795509985305542</v>
      </c>
      <c r="DX286" s="396">
        <v>1902.8739743075305</v>
      </c>
      <c r="DY286" s="396">
        <v>2.1338241537128466</v>
      </c>
      <c r="DZ286" s="396">
        <v>7.6329256732787848E-3</v>
      </c>
      <c r="EA286" s="396">
        <v>3.8193850788278465</v>
      </c>
      <c r="EB286" s="396">
        <v>0.10874055723233132</v>
      </c>
      <c r="EC286" s="396">
        <v>2113.5496723222673</v>
      </c>
      <c r="ED286" s="396">
        <v>19.813628741856562</v>
      </c>
      <c r="EE286" s="396">
        <v>5.8005022289847243E-3</v>
      </c>
      <c r="EF286" s="396">
        <v>1.014952065105434</v>
      </c>
      <c r="EG286" s="396">
        <v>0.51199221270189821</v>
      </c>
      <c r="EH286" s="396">
        <v>0</v>
      </c>
      <c r="EI286" s="396">
        <v>0</v>
      </c>
      <c r="EJ286" s="396">
        <v>0</v>
      </c>
      <c r="EK286" s="396">
        <v>0</v>
      </c>
      <c r="EL286" s="396">
        <v>0</v>
      </c>
      <c r="EM286" s="396">
        <v>1145.253437594733</v>
      </c>
      <c r="EN286" s="396">
        <v>4.6118491111612041</v>
      </c>
      <c r="EO286" s="396">
        <v>1.6711723966389688E-2</v>
      </c>
      <c r="EP286" s="396">
        <v>0.26864851419732455</v>
      </c>
      <c r="EQ286" s="396">
        <v>0.31409705326814402</v>
      </c>
      <c r="ER286" s="396">
        <v>984.79094022469735</v>
      </c>
      <c r="ES286" s="396">
        <v>0.9744131155245761</v>
      </c>
      <c r="ET286" s="396">
        <v>3.9396683104846097E-3</v>
      </c>
      <c r="EU286" s="396">
        <v>1.2723842041421447</v>
      </c>
      <c r="EV286" s="396">
        <v>0.12656764593060021</v>
      </c>
      <c r="EW286" s="396">
        <v>1914.0381305797569</v>
      </c>
      <c r="EX286" s="396">
        <v>18.445197375497472</v>
      </c>
      <c r="EY286" s="396">
        <v>5.7197886414972572E-3</v>
      </c>
      <c r="EZ286" s="396">
        <v>0.87614284177691726</v>
      </c>
      <c r="FA286" s="396">
        <v>0.46889117457244273</v>
      </c>
      <c r="FB286" s="396">
        <v>0</v>
      </c>
      <c r="FC286" s="396">
        <v>0</v>
      </c>
      <c r="FD286" s="396">
        <v>0</v>
      </c>
      <c r="FE286" s="396">
        <v>0</v>
      </c>
      <c r="FF286" s="396">
        <v>0</v>
      </c>
      <c r="FG286" s="396">
        <v>1068.1676379614757</v>
      </c>
      <c r="FH286" s="396">
        <v>3.0206826056366074</v>
      </c>
      <c r="FI286" s="396">
        <v>9.5640014691110563E-3</v>
      </c>
      <c r="FJ286" s="396">
        <v>9.091208786346118E-2</v>
      </c>
      <c r="FK286" s="396">
        <v>0.17422572979861675</v>
      </c>
      <c r="FL286" s="396">
        <v>913.59882745832897</v>
      </c>
      <c r="FM286" s="396">
        <v>0.86731687643555211</v>
      </c>
      <c r="FN286" s="396">
        <v>3.4259956029687342E-3</v>
      </c>
      <c r="FO286" s="396">
        <v>0.99828348555717861</v>
      </c>
      <c r="FP286" s="396">
        <v>4.2752866185649156E-2</v>
      </c>
      <c r="FQ286" s="396">
        <v>1691.0546936666715</v>
      </c>
      <c r="FR286" s="396">
        <v>16.913704272449376</v>
      </c>
      <c r="FS286" s="396">
        <v>5.043796074379177E-3</v>
      </c>
      <c r="FT286" s="396">
        <v>0.80105435879772491</v>
      </c>
      <c r="FU286" s="396">
        <v>0.42576290321809052</v>
      </c>
      <c r="FV286" s="396">
        <v>0</v>
      </c>
      <c r="FW286" s="396">
        <v>0</v>
      </c>
      <c r="FX286" s="396">
        <v>0</v>
      </c>
      <c r="FY286" s="396">
        <v>0</v>
      </c>
      <c r="FZ286" s="396">
        <v>0</v>
      </c>
      <c r="GA286" s="396">
        <v>1831.9016091772908</v>
      </c>
      <c r="GB286" s="396">
        <v>2.0260721048736769</v>
      </c>
      <c r="GC286" s="396">
        <v>4.0771639762632983E-2</v>
      </c>
      <c r="GD286" s="396">
        <v>3.7637134600828928</v>
      </c>
      <c r="GE286" s="396">
        <v>0.15178742765173792</v>
      </c>
      <c r="GF286" s="396">
        <v>1893.2136337398929</v>
      </c>
      <c r="GG286" s="396">
        <v>18.554078342852048</v>
      </c>
      <c r="GH286" s="396">
        <v>4.8714386946299435E-3</v>
      </c>
      <c r="GI286" s="396">
        <v>0.73403601312127786</v>
      </c>
      <c r="GJ286" s="396">
        <v>0.39207701946135187</v>
      </c>
      <c r="GK286" s="396">
        <v>0</v>
      </c>
      <c r="GL286" s="396">
        <v>0</v>
      </c>
      <c r="GM286" s="396">
        <v>0</v>
      </c>
      <c r="GN286" s="396">
        <v>0</v>
      </c>
      <c r="GO286" s="396">
        <v>0</v>
      </c>
      <c r="GP286" s="396">
        <v>1809.044200619433</v>
      </c>
      <c r="GQ286" s="396">
        <v>2.1627131801557384</v>
      </c>
      <c r="GR286" s="396">
        <v>3.6269917488975852E-2</v>
      </c>
      <c r="GS286" s="396">
        <v>3.6787031924003424</v>
      </c>
      <c r="GT286" s="396">
        <v>0.14170688178755211</v>
      </c>
      <c r="GU286" s="396">
        <v>1787.810983681662</v>
      </c>
      <c r="GV286" s="396">
        <v>17.79432870048117</v>
      </c>
      <c r="GW286" s="396">
        <v>3.6232987224437851E-2</v>
      </c>
      <c r="GX286" s="396">
        <v>0.62071444300731249</v>
      </c>
      <c r="GY286" s="396">
        <v>0.33816445908012871</v>
      </c>
      <c r="GZ286" s="396">
        <v>0</v>
      </c>
      <c r="HA286" s="396">
        <v>0</v>
      </c>
      <c r="HB286" s="396">
        <v>0</v>
      </c>
      <c r="HC286" s="396">
        <v>0</v>
      </c>
      <c r="HD286" s="487">
        <v>0</v>
      </c>
    </row>
    <row r="287" spans="2:212" x14ac:dyDescent="0.35">
      <c r="B287" s="396">
        <v>2017</v>
      </c>
      <c r="C287" s="396">
        <v>305.31506271369682</v>
      </c>
      <c r="D287" s="396">
        <v>1.3116377049804724</v>
      </c>
      <c r="E287" s="396">
        <v>1.97340271246627E-3</v>
      </c>
      <c r="F287" s="396">
        <v>5.0468338445942583E-2</v>
      </c>
      <c r="G287" s="396">
        <v>8.3092938153542351E-2</v>
      </c>
      <c r="H287" s="396">
        <v>299.7936286750151</v>
      </c>
      <c r="I287" s="396">
        <v>1.117005059526593</v>
      </c>
      <c r="J287" s="396">
        <v>1.5637927433357962E-3</v>
      </c>
      <c r="K287" s="396">
        <v>3.8822436490939305E-2</v>
      </c>
      <c r="L287" s="396">
        <v>6.6101795305831698E-2</v>
      </c>
      <c r="M287" s="396">
        <v>299.26300854778293</v>
      </c>
      <c r="N287" s="396">
        <v>1.3026668835701767</v>
      </c>
      <c r="O287" s="396">
        <v>2.142752711465478E-3</v>
      </c>
      <c r="P287" s="396">
        <v>5.1476659878135919E-2</v>
      </c>
      <c r="Q287" s="396">
        <v>9.5930382210068291E-2</v>
      </c>
      <c r="R287" s="396">
        <v>0</v>
      </c>
      <c r="S287" s="396">
        <v>0</v>
      </c>
      <c r="T287" s="396">
        <v>0</v>
      </c>
      <c r="U287" s="396">
        <v>0</v>
      </c>
      <c r="V287" s="396">
        <v>0</v>
      </c>
      <c r="W287" s="396">
        <v>409.34275790076202</v>
      </c>
      <c r="X287" s="396">
        <v>1.8932756274179965</v>
      </c>
      <c r="Y287" s="396">
        <v>3.0958592162345241E-3</v>
      </c>
      <c r="Z287" s="396">
        <v>5.7162417306833094E-2</v>
      </c>
      <c r="AA287" s="396">
        <v>8.9086457983738293E-2</v>
      </c>
      <c r="AB287" s="396">
        <v>543.74664175214332</v>
      </c>
      <c r="AC287" s="396">
        <v>0.74903643348062832</v>
      </c>
      <c r="AD287" s="396">
        <v>1.566463233701972E-3</v>
      </c>
      <c r="AE287" s="396">
        <v>0.58776194333282539</v>
      </c>
      <c r="AF287" s="396">
        <v>6.0873024147305783E-2</v>
      </c>
      <c r="AG287" s="396">
        <v>395.53907675583338</v>
      </c>
      <c r="AH287" s="396">
        <v>1.8735877625499864</v>
      </c>
      <c r="AI287" s="396">
        <v>3.335374849555461E-3</v>
      </c>
      <c r="AJ287" s="396">
        <v>5.7314031137166599E-2</v>
      </c>
      <c r="AK287" s="396">
        <v>0.10187424777730326</v>
      </c>
      <c r="AL287" s="396">
        <v>0</v>
      </c>
      <c r="AM287" s="396">
        <v>0</v>
      </c>
      <c r="AN287" s="396">
        <v>0</v>
      </c>
      <c r="AO287" s="396">
        <v>0</v>
      </c>
      <c r="AP287" s="396">
        <v>0</v>
      </c>
      <c r="AQ287" s="396">
        <v>473.30377763517492</v>
      </c>
      <c r="AR287" s="396">
        <v>1.8455915645735543</v>
      </c>
      <c r="AS287" s="396">
        <v>3.3606034053115567E-3</v>
      </c>
      <c r="AT287" s="396">
        <v>6.6959291966214002E-2</v>
      </c>
      <c r="AU287" s="396">
        <v>9.2128759475033462E-2</v>
      </c>
      <c r="AV287" s="396">
        <v>562.30569040858222</v>
      </c>
      <c r="AW287" s="396">
        <v>0.65002721007796627</v>
      </c>
      <c r="AX287" s="396">
        <v>1.4653974018416643E-3</v>
      </c>
      <c r="AY287" s="396">
        <v>0.61136465276168817</v>
      </c>
      <c r="AZ287" s="396">
        <v>5.5581029456929949E-2</v>
      </c>
      <c r="BA287" s="396">
        <v>385.04594710607694</v>
      </c>
      <c r="BB287" s="396">
        <v>1.7036652562788539</v>
      </c>
      <c r="BC287" s="396">
        <v>3.0851313587903955E-3</v>
      </c>
      <c r="BD287" s="396">
        <v>5.3213231364922516E-2</v>
      </c>
      <c r="BE287" s="396">
        <v>9.5601079253282872E-2</v>
      </c>
      <c r="BF287" s="396">
        <v>0</v>
      </c>
      <c r="BG287" s="396">
        <v>0</v>
      </c>
      <c r="BH287" s="396">
        <v>0</v>
      </c>
      <c r="BI287" s="396">
        <v>0</v>
      </c>
      <c r="BJ287" s="396">
        <v>0</v>
      </c>
      <c r="BK287" s="396">
        <v>1812.6463006311296</v>
      </c>
      <c r="BL287" s="396">
        <v>19.587740871334457</v>
      </c>
      <c r="BM287" s="396">
        <v>1.1867215818740309E-2</v>
      </c>
      <c r="BN287" s="396">
        <v>0.33930190524163684</v>
      </c>
      <c r="BO287" s="396">
        <v>0.41468685491915808</v>
      </c>
      <c r="BP287" s="396">
        <v>1766.7664961246758</v>
      </c>
      <c r="BQ287" s="396">
        <v>1.9232976997629052</v>
      </c>
      <c r="BR287" s="396">
        <v>3.7910236679006698E-3</v>
      </c>
      <c r="BS287" s="396">
        <v>2.7667942265296781</v>
      </c>
      <c r="BT287" s="396">
        <v>0.10863871441842407</v>
      </c>
      <c r="BU287" s="396">
        <v>1962.5081473490211</v>
      </c>
      <c r="BV287" s="396">
        <v>19.468568089362375</v>
      </c>
      <c r="BW287" s="396">
        <v>5.8797732227541411E-3</v>
      </c>
      <c r="BX287" s="396">
        <v>0.92438136336052867</v>
      </c>
      <c r="BY287" s="396">
        <v>0.48544433955903177</v>
      </c>
      <c r="BZ287" s="396">
        <v>0</v>
      </c>
      <c r="CA287" s="396">
        <v>0</v>
      </c>
      <c r="CB287" s="396">
        <v>0</v>
      </c>
      <c r="CC287" s="396">
        <v>0</v>
      </c>
      <c r="CD287" s="396">
        <v>0</v>
      </c>
      <c r="CE287" s="396">
        <v>1737.7640391550747</v>
      </c>
      <c r="CF287" s="396">
        <v>18.6520071183581</v>
      </c>
      <c r="CG287" s="396">
        <v>1.1663269641680574E-2</v>
      </c>
      <c r="CH287" s="396">
        <v>0.32730489684743769</v>
      </c>
      <c r="CI287" s="396">
        <v>0.3966432056421404</v>
      </c>
      <c r="CJ287" s="396">
        <v>1691.1613218325392</v>
      </c>
      <c r="CK287" s="396">
        <v>1.6665394029941061</v>
      </c>
      <c r="CL287" s="396">
        <v>3.1603219722891756E-3</v>
      </c>
      <c r="CM287" s="396">
        <v>2.1252072837081846</v>
      </c>
      <c r="CN287" s="396">
        <v>9.9704940375768797E-2</v>
      </c>
      <c r="CO287" s="396">
        <v>1838.9869101694321</v>
      </c>
      <c r="CP287" s="396">
        <v>18.611205175212231</v>
      </c>
      <c r="CQ287" s="396">
        <v>5.2200983196907949E-3</v>
      </c>
      <c r="CR287" s="396">
        <v>0.82477609500344462</v>
      </c>
      <c r="CS287" s="396">
        <v>0.43124043951937779</v>
      </c>
      <c r="CT287" s="396">
        <v>0</v>
      </c>
      <c r="CU287" s="396">
        <v>0</v>
      </c>
      <c r="CV287" s="396">
        <v>0</v>
      </c>
      <c r="CW287" s="396">
        <v>0</v>
      </c>
      <c r="CX287" s="396">
        <v>0</v>
      </c>
      <c r="CY287" s="396">
        <v>1323.931503844595</v>
      </c>
      <c r="CZ287" s="396">
        <v>7.4416235137383486</v>
      </c>
      <c r="DA287" s="396">
        <v>1.2181305979616114E-2</v>
      </c>
      <c r="DB287" s="396">
        <v>0.22838318789541406</v>
      </c>
      <c r="DC287" s="396">
        <v>0.34550409325277892</v>
      </c>
      <c r="DD287" s="396">
        <v>1321.3281752570961</v>
      </c>
      <c r="DE287" s="396">
        <v>0.68785061553238935</v>
      </c>
      <c r="DF287" s="396">
        <v>7.9861560288687766E-3</v>
      </c>
      <c r="DG287" s="396">
        <v>1.1621357255527454</v>
      </c>
      <c r="DH287" s="396">
        <v>9.5513707381982574E-2</v>
      </c>
      <c r="DI287" s="396">
        <v>1618.9720315678867</v>
      </c>
      <c r="DJ287" s="396">
        <v>17.085410658260486</v>
      </c>
      <c r="DK287" s="396">
        <v>5.1651128648825886E-3</v>
      </c>
      <c r="DL287" s="396">
        <v>0.73893149112805256</v>
      </c>
      <c r="DM287" s="396">
        <v>0.42121144373150898</v>
      </c>
      <c r="DN287" s="396">
        <v>0</v>
      </c>
      <c r="DO287" s="396">
        <v>0</v>
      </c>
      <c r="DP287" s="396">
        <v>0</v>
      </c>
      <c r="DQ287" s="396">
        <v>0</v>
      </c>
      <c r="DR287" s="396">
        <v>0</v>
      </c>
      <c r="DS287" s="396">
        <v>1990.9891688693915</v>
      </c>
      <c r="DT287" s="396">
        <v>29.691630109566681</v>
      </c>
      <c r="DU287" s="396">
        <v>5.6769979704706973E-3</v>
      </c>
      <c r="DV287" s="396">
        <v>0.33993848643144581</v>
      </c>
      <c r="DW287" s="396">
        <v>0.42986267549151574</v>
      </c>
      <c r="DX287" s="396">
        <v>1818.2189448496422</v>
      </c>
      <c r="DY287" s="396">
        <v>1.7348261739870694</v>
      </c>
      <c r="DZ287" s="396">
        <v>5.4101477118468589E-3</v>
      </c>
      <c r="EA287" s="396">
        <v>2.6216839610703357</v>
      </c>
      <c r="EB287" s="396">
        <v>9.9534374065296916E-2</v>
      </c>
      <c r="EC287" s="396">
        <v>2058.9022793469258</v>
      </c>
      <c r="ED287" s="396">
        <v>19.813563851107606</v>
      </c>
      <c r="EE287" s="396">
        <v>5.8005237420837453E-3</v>
      </c>
      <c r="EF287" s="396">
        <v>1.0149533709216256</v>
      </c>
      <c r="EG287" s="396">
        <v>0.51199262485637165</v>
      </c>
      <c r="EH287" s="396">
        <v>0</v>
      </c>
      <c r="EI287" s="396">
        <v>0</v>
      </c>
      <c r="EJ287" s="396">
        <v>0</v>
      </c>
      <c r="EK287" s="396">
        <v>0</v>
      </c>
      <c r="EL287" s="396">
        <v>0</v>
      </c>
      <c r="EM287" s="396">
        <v>1135.3395700339875</v>
      </c>
      <c r="EN287" s="396">
        <v>4.3224473735982691</v>
      </c>
      <c r="EO287" s="396">
        <v>1.080945952363185E-2</v>
      </c>
      <c r="EP287" s="396">
        <v>0.22807532885141138</v>
      </c>
      <c r="EQ287" s="396">
        <v>0.29637873371006807</v>
      </c>
      <c r="ER287" s="396">
        <v>934.67777290661991</v>
      </c>
      <c r="ES287" s="396">
        <v>0.81673737009051761</v>
      </c>
      <c r="ET287" s="396">
        <v>2.7614275214689122E-3</v>
      </c>
      <c r="EU287" s="396">
        <v>0.89714908321943421</v>
      </c>
      <c r="EV287" s="396">
        <v>0.1225939345488305</v>
      </c>
      <c r="EW287" s="396">
        <v>1867.3658637108058</v>
      </c>
      <c r="EX287" s="396">
        <v>18.445244628583207</v>
      </c>
      <c r="EY287" s="396">
        <v>5.719786119456405E-3</v>
      </c>
      <c r="EZ287" s="396">
        <v>0.8761455949501632</v>
      </c>
      <c r="FA287" s="396">
        <v>0.46889187752844336</v>
      </c>
      <c r="FB287" s="396">
        <v>0</v>
      </c>
      <c r="FC287" s="396">
        <v>0</v>
      </c>
      <c r="FD287" s="396">
        <v>0</v>
      </c>
      <c r="FE287" s="396">
        <v>0</v>
      </c>
      <c r="FF287" s="396">
        <v>0</v>
      </c>
      <c r="FG287" s="396">
        <v>1058.445101812229</v>
      </c>
      <c r="FH287" s="396">
        <v>3.0117177403141957</v>
      </c>
      <c r="FI287" s="396">
        <v>5.851671022526015E-3</v>
      </c>
      <c r="FJ287" s="396">
        <v>8.805613793235495E-2</v>
      </c>
      <c r="FK287" s="396">
        <v>0.1695156858803144</v>
      </c>
      <c r="FL287" s="396">
        <v>867.16038375282608</v>
      </c>
      <c r="FM287" s="396">
        <v>0.72179739706772084</v>
      </c>
      <c r="FN287" s="396">
        <v>2.3574096229341899E-3</v>
      </c>
      <c r="FO287" s="396">
        <v>0.67128085921329761</v>
      </c>
      <c r="FP287" s="396">
        <v>3.9071096170205023E-2</v>
      </c>
      <c r="FQ287" s="396">
        <v>1647.6854438177741</v>
      </c>
      <c r="FR287" s="396">
        <v>16.913746527591776</v>
      </c>
      <c r="FS287" s="396">
        <v>5.0438039992959528E-3</v>
      </c>
      <c r="FT287" s="396">
        <v>0.80106066287603417</v>
      </c>
      <c r="FU287" s="396">
        <v>0.42576507771307009</v>
      </c>
      <c r="FV287" s="396">
        <v>0</v>
      </c>
      <c r="FW287" s="396">
        <v>0</v>
      </c>
      <c r="FX287" s="396">
        <v>0</v>
      </c>
      <c r="FY287" s="396">
        <v>0</v>
      </c>
      <c r="FZ287" s="396">
        <v>0</v>
      </c>
      <c r="GA287" s="396">
        <v>1758.5034783527246</v>
      </c>
      <c r="GB287" s="396">
        <v>1.5255255255255258</v>
      </c>
      <c r="GC287" s="396">
        <v>4.0729171382437708E-2</v>
      </c>
      <c r="GD287" s="396">
        <v>3.2130019466702882</v>
      </c>
      <c r="GE287" s="396">
        <v>0.126095190668055</v>
      </c>
      <c r="GF287" s="396">
        <v>1843.0249794957356</v>
      </c>
      <c r="GG287" s="396">
        <v>18.554140995760648</v>
      </c>
      <c r="GH287" s="396">
        <v>4.8714669367386637E-3</v>
      </c>
      <c r="GI287" s="396">
        <v>0.73403859346157418</v>
      </c>
      <c r="GJ287" s="396">
        <v>0.39207832087929206</v>
      </c>
      <c r="GK287" s="396">
        <v>0</v>
      </c>
      <c r="GL287" s="396">
        <v>0</v>
      </c>
      <c r="GM287" s="396">
        <v>0</v>
      </c>
      <c r="GN287" s="396">
        <v>0</v>
      </c>
      <c r="GO287" s="396">
        <v>0</v>
      </c>
      <c r="GP287" s="396">
        <v>1742.8083731084523</v>
      </c>
      <c r="GQ287" s="396">
        <v>2.079059737591233</v>
      </c>
      <c r="GR287" s="396">
        <v>5.3479377581815458E-2</v>
      </c>
      <c r="GS287" s="396">
        <v>3.8172288692450933</v>
      </c>
      <c r="GT287" s="396">
        <v>0.16420881402367243</v>
      </c>
      <c r="GU287" s="396">
        <v>1739.4903884962159</v>
      </c>
      <c r="GV287" s="396">
        <v>17.794374193204067</v>
      </c>
      <c r="GW287" s="396">
        <v>3.7277141991580796E-2</v>
      </c>
      <c r="GX287" s="396">
        <v>0.62071668495682075</v>
      </c>
      <c r="GY287" s="396">
        <v>0.33816549198290841</v>
      </c>
      <c r="GZ287" s="396">
        <v>0</v>
      </c>
      <c r="HA287" s="396">
        <v>0</v>
      </c>
      <c r="HB287" s="396">
        <v>0</v>
      </c>
      <c r="HC287" s="396">
        <v>0</v>
      </c>
      <c r="HD287" s="487">
        <v>0</v>
      </c>
    </row>
    <row r="288" spans="2:212" x14ac:dyDescent="0.35">
      <c r="B288" s="396">
        <v>2018</v>
      </c>
      <c r="C288" s="396">
        <v>297.44850730945433</v>
      </c>
      <c r="D288" s="396">
        <v>1.245535729312881</v>
      </c>
      <c r="E288" s="396">
        <v>1.9713310511274701E-3</v>
      </c>
      <c r="F288" s="396">
        <v>4.7231899717585443E-2</v>
      </c>
      <c r="G288" s="396">
        <v>7.7637412018944335E-2</v>
      </c>
      <c r="H288" s="396">
        <v>292.05921336768586</v>
      </c>
      <c r="I288" s="396">
        <v>1.0520015786259997</v>
      </c>
      <c r="J288" s="396">
        <v>1.5629923898312656E-3</v>
      </c>
      <c r="K288" s="396">
        <v>3.5636588380716934E-2</v>
      </c>
      <c r="L288" s="396">
        <v>6.4017752096147268E-2</v>
      </c>
      <c r="M288" s="396">
        <v>291.54716065852102</v>
      </c>
      <c r="N288" s="396">
        <v>1.2369175029560682</v>
      </c>
      <c r="O288" s="396">
        <v>2.1404890398083859E-3</v>
      </c>
      <c r="P288" s="396">
        <v>4.8187475366097687E-2</v>
      </c>
      <c r="Q288" s="396">
        <v>8.9364975896674054E-2</v>
      </c>
      <c r="R288" s="396">
        <v>0</v>
      </c>
      <c r="S288" s="396">
        <v>0</v>
      </c>
      <c r="T288" s="396">
        <v>0</v>
      </c>
      <c r="U288" s="396">
        <v>0</v>
      </c>
      <c r="V288" s="396">
        <v>0</v>
      </c>
      <c r="W288" s="396">
        <v>394.48771508164134</v>
      </c>
      <c r="X288" s="396">
        <v>1.4471914165345021</v>
      </c>
      <c r="Y288" s="396">
        <v>3.0359323814882263E-3</v>
      </c>
      <c r="Z288" s="396">
        <v>5.1003828683564109E-2</v>
      </c>
      <c r="AA288" s="396">
        <v>8.2195543200606944E-2</v>
      </c>
      <c r="AB288" s="396">
        <v>495.08751162594069</v>
      </c>
      <c r="AC288" s="396">
        <v>0.73269022344865753</v>
      </c>
      <c r="AD288" s="396">
        <v>1.6184308631252066E-3</v>
      </c>
      <c r="AE288" s="396">
        <v>0.42124491725404895</v>
      </c>
      <c r="AF288" s="396">
        <v>5.9799687925163533E-2</v>
      </c>
      <c r="AG288" s="396">
        <v>381.94601425493846</v>
      </c>
      <c r="AH288" s="396">
        <v>1.4336916586549591</v>
      </c>
      <c r="AI288" s="396">
        <v>3.2754493138074628E-3</v>
      </c>
      <c r="AJ288" s="396">
        <v>5.1084235955453999E-2</v>
      </c>
      <c r="AK288" s="396">
        <v>9.3693265535676834E-2</v>
      </c>
      <c r="AL288" s="396">
        <v>0</v>
      </c>
      <c r="AM288" s="396">
        <v>0</v>
      </c>
      <c r="AN288" s="396">
        <v>0</v>
      </c>
      <c r="AO288" s="396">
        <v>0</v>
      </c>
      <c r="AP288" s="396">
        <v>0</v>
      </c>
      <c r="AQ288" s="396">
        <v>448.1935788666691</v>
      </c>
      <c r="AR288" s="396">
        <v>1.3792621552580138</v>
      </c>
      <c r="AS288" s="396">
        <v>3.2622372973416429E-3</v>
      </c>
      <c r="AT288" s="396">
        <v>5.9655746006240642E-2</v>
      </c>
      <c r="AU288" s="396">
        <v>8.5216371655129297E-2</v>
      </c>
      <c r="AV288" s="396">
        <v>515.43832352561026</v>
      </c>
      <c r="AW288" s="396">
        <v>0.64490026850318616</v>
      </c>
      <c r="AX288" s="396">
        <v>1.4836569109696112E-3</v>
      </c>
      <c r="AY288" s="396">
        <v>0.45607741476060298</v>
      </c>
      <c r="AZ288" s="396">
        <v>5.4679783734218432E-2</v>
      </c>
      <c r="BA288" s="396">
        <v>371.82110701706301</v>
      </c>
      <c r="BB288" s="396">
        <v>1.304165778495082</v>
      </c>
      <c r="BC288" s="396">
        <v>3.0294314686805323E-3</v>
      </c>
      <c r="BD288" s="396">
        <v>4.7499517849711209E-2</v>
      </c>
      <c r="BE288" s="396">
        <v>8.7976186851000324E-2</v>
      </c>
      <c r="BF288" s="396">
        <v>0</v>
      </c>
      <c r="BG288" s="396">
        <v>0</v>
      </c>
      <c r="BH288" s="396">
        <v>0</v>
      </c>
      <c r="BI288" s="396">
        <v>0</v>
      </c>
      <c r="BJ288" s="396">
        <v>0</v>
      </c>
      <c r="BK288" s="396">
        <v>1812.6400562358167</v>
      </c>
      <c r="BL288" s="396">
        <v>19.587617555814255</v>
      </c>
      <c r="BM288" s="396">
        <v>1.1867159136390139E-2</v>
      </c>
      <c r="BN288" s="396">
        <v>0.33930229392559724</v>
      </c>
      <c r="BO288" s="396">
        <v>0.41322963838825877</v>
      </c>
      <c r="BP288" s="396">
        <v>1766.9631395562076</v>
      </c>
      <c r="BQ288" s="396">
        <v>1.925231196458044</v>
      </c>
      <c r="BR288" s="396">
        <v>3.789126562049723E-3</v>
      </c>
      <c r="BS288" s="396">
        <v>2.7679914070891516</v>
      </c>
      <c r="BT288" s="396">
        <v>0.10864203190904088</v>
      </c>
      <c r="BU288" s="396">
        <v>1962.5084046384393</v>
      </c>
      <c r="BV288" s="396">
        <v>19.468573560158791</v>
      </c>
      <c r="BW288" s="396">
        <v>5.8797929465511049E-3</v>
      </c>
      <c r="BX288" s="396">
        <v>0.92438128045242285</v>
      </c>
      <c r="BY288" s="396">
        <v>0.4854450083355592</v>
      </c>
      <c r="BZ288" s="396">
        <v>0</v>
      </c>
      <c r="CA288" s="396">
        <v>0</v>
      </c>
      <c r="CB288" s="396">
        <v>0</v>
      </c>
      <c r="CC288" s="396">
        <v>0</v>
      </c>
      <c r="CD288" s="396">
        <v>0</v>
      </c>
      <c r="CE288" s="396">
        <v>1737.7554632692447</v>
      </c>
      <c r="CF288" s="396">
        <v>18.651892398052603</v>
      </c>
      <c r="CG288" s="396">
        <v>1.1663209102086338E-2</v>
      </c>
      <c r="CH288" s="396">
        <v>0.32730397512076098</v>
      </c>
      <c r="CI288" s="396">
        <v>0.39461533483816691</v>
      </c>
      <c r="CJ288" s="396">
        <v>1691.3316644578608</v>
      </c>
      <c r="CK288" s="396">
        <v>1.6683355421391057</v>
      </c>
      <c r="CL288" s="396">
        <v>3.1583591027340104E-3</v>
      </c>
      <c r="CM288" s="396">
        <v>2.1261718941736616</v>
      </c>
      <c r="CN288" s="396">
        <v>9.9708192215186758E-2</v>
      </c>
      <c r="CO288" s="396">
        <v>1838.9928858324959</v>
      </c>
      <c r="CP288" s="396">
        <v>18.611292069148501</v>
      </c>
      <c r="CQ288" s="396">
        <v>5.220133654887377E-3</v>
      </c>
      <c r="CR288" s="396">
        <v>0.82478180774922238</v>
      </c>
      <c r="CS288" s="396">
        <v>0.43124107493388442</v>
      </c>
      <c r="CT288" s="396">
        <v>0</v>
      </c>
      <c r="CU288" s="396">
        <v>0</v>
      </c>
      <c r="CV288" s="396">
        <v>0</v>
      </c>
      <c r="CW288" s="396">
        <v>0</v>
      </c>
      <c r="CX288" s="396">
        <v>0</v>
      </c>
      <c r="CY288" s="396">
        <v>1400.8490591385812</v>
      </c>
      <c r="CZ288" s="396">
        <v>9.9129445693353517</v>
      </c>
      <c r="DA288" s="396">
        <v>9.818634519448647E-3</v>
      </c>
      <c r="DB288" s="396">
        <v>0.24747476556832326</v>
      </c>
      <c r="DC288" s="396">
        <v>0.36086267274502254</v>
      </c>
      <c r="DD288" s="396">
        <v>1324.5458901424404</v>
      </c>
      <c r="DE288" s="396">
        <v>0.72560700439952952</v>
      </c>
      <c r="DF288" s="396">
        <v>8.033035675393126E-3</v>
      </c>
      <c r="DG288" s="396">
        <v>1.1726793570588492</v>
      </c>
      <c r="DH288" s="396">
        <v>9.5461950603301815E-2</v>
      </c>
      <c r="DI288" s="396">
        <v>1618.9842285120578</v>
      </c>
      <c r="DJ288" s="396">
        <v>17.085562148428938</v>
      </c>
      <c r="DK288" s="396">
        <v>5.1651663595704443E-3</v>
      </c>
      <c r="DL288" s="396">
        <v>0.73893925988457509</v>
      </c>
      <c r="DM288" s="396">
        <v>0.42121561401657509</v>
      </c>
      <c r="DN288" s="396">
        <v>0</v>
      </c>
      <c r="DO288" s="396">
        <v>0</v>
      </c>
      <c r="DP288" s="396">
        <v>0</v>
      </c>
      <c r="DQ288" s="396">
        <v>0</v>
      </c>
      <c r="DR288" s="396">
        <v>0</v>
      </c>
      <c r="DS288" s="396">
        <v>1990.992654745146</v>
      </c>
      <c r="DT288" s="396">
        <v>29.691694426247789</v>
      </c>
      <c r="DU288" s="396">
        <v>5.6769969476075646E-3</v>
      </c>
      <c r="DV288" s="396">
        <v>0.33993964904455937</v>
      </c>
      <c r="DW288" s="396">
        <v>0.42885068365227819</v>
      </c>
      <c r="DX288" s="396">
        <v>1820.8545252999477</v>
      </c>
      <c r="DY288" s="396">
        <v>1.7655923969744394</v>
      </c>
      <c r="DZ288" s="396">
        <v>5.2779407929055824E-3</v>
      </c>
      <c r="EA288" s="396">
        <v>2.6513568292470873</v>
      </c>
      <c r="EB288" s="396">
        <v>9.9783733263780205E-2</v>
      </c>
      <c r="EC288" s="396">
        <v>2058.8999942226587</v>
      </c>
      <c r="ED288" s="396">
        <v>19.81357241897279</v>
      </c>
      <c r="EE288" s="396">
        <v>5.8005228493847134E-3</v>
      </c>
      <c r="EF288" s="396">
        <v>1.0149560922063665</v>
      </c>
      <c r="EG288" s="396">
        <v>0.51199520480674787</v>
      </c>
      <c r="EH288" s="396">
        <v>0</v>
      </c>
      <c r="EI288" s="396">
        <v>0</v>
      </c>
      <c r="EJ288" s="396">
        <v>0</v>
      </c>
      <c r="EK288" s="396">
        <v>0</v>
      </c>
      <c r="EL288" s="396">
        <v>0</v>
      </c>
      <c r="EM288" s="396">
        <v>1111.6042392011325</v>
      </c>
      <c r="EN288" s="396">
        <v>3.8456307150782418</v>
      </c>
      <c r="EO288" s="396">
        <v>1.0798293606764358E-2</v>
      </c>
      <c r="EP288" s="396">
        <v>0.20696904771014274</v>
      </c>
      <c r="EQ288" s="396">
        <v>0.24425527030646207</v>
      </c>
      <c r="ER288" s="396">
        <v>943.56966847835588</v>
      </c>
      <c r="ES288" s="396">
        <v>0.85621362786389621</v>
      </c>
      <c r="ET288" s="396">
        <v>2.9704688838014014E-3</v>
      </c>
      <c r="EU288" s="396">
        <v>0.90250083011481796</v>
      </c>
      <c r="EV288" s="396">
        <v>0.12374442949266877</v>
      </c>
      <c r="EW288" s="396">
        <v>1867.363441067851</v>
      </c>
      <c r="EX288" s="396">
        <v>18.445257462853835</v>
      </c>
      <c r="EY288" s="396">
        <v>5.7198028985907048E-3</v>
      </c>
      <c r="EZ288" s="396">
        <v>0.87614610883335686</v>
      </c>
      <c r="FA288" s="396">
        <v>0.46889170112033324</v>
      </c>
      <c r="FB288" s="396">
        <v>0</v>
      </c>
      <c r="FC288" s="396">
        <v>0</v>
      </c>
      <c r="FD288" s="396">
        <v>0</v>
      </c>
      <c r="FE288" s="396">
        <v>0</v>
      </c>
      <c r="FF288" s="396">
        <v>0</v>
      </c>
      <c r="FG288" s="396">
        <v>1035.9325163559697</v>
      </c>
      <c r="FH288" s="396">
        <v>2.6162397534760231</v>
      </c>
      <c r="FI288" s="396">
        <v>5.8359800286423499E-3</v>
      </c>
      <c r="FJ288" s="396">
        <v>7.2557740250870278E-2</v>
      </c>
      <c r="FK288" s="396">
        <v>0.12280225305421665</v>
      </c>
      <c r="FL288" s="396">
        <v>874.70775665624285</v>
      </c>
      <c r="FM288" s="396">
        <v>0.75467342731155851</v>
      </c>
      <c r="FN288" s="396">
        <v>2.5273598958281953E-3</v>
      </c>
      <c r="FO288" s="396">
        <v>0.67844353907922395</v>
      </c>
      <c r="FP288" s="396">
        <v>4.0040001578360677E-2</v>
      </c>
      <c r="FQ288" s="396">
        <v>1647.6793864899323</v>
      </c>
      <c r="FR288" s="396">
        <v>16.913715414635096</v>
      </c>
      <c r="FS288" s="396">
        <v>5.0437943417710436E-3</v>
      </c>
      <c r="FT288" s="396">
        <v>0.80105690344807456</v>
      </c>
      <c r="FU288" s="396">
        <v>0.42576372466010731</v>
      </c>
      <c r="FV288" s="396">
        <v>0</v>
      </c>
      <c r="FW288" s="396">
        <v>0</v>
      </c>
      <c r="FX288" s="396">
        <v>0</v>
      </c>
      <c r="FY288" s="396">
        <v>0</v>
      </c>
      <c r="FZ288" s="396">
        <v>0</v>
      </c>
      <c r="GA288" s="396">
        <v>1756.1987545604175</v>
      </c>
      <c r="GB288" s="396">
        <v>1.4521241495437687</v>
      </c>
      <c r="GC288" s="396">
        <v>1.9297904293808451E-2</v>
      </c>
      <c r="GD288" s="396">
        <v>2.4505692462890907</v>
      </c>
      <c r="GE288" s="396">
        <v>0.10499010171342754</v>
      </c>
      <c r="GF288" s="396">
        <v>1843.0308478735899</v>
      </c>
      <c r="GG288" s="396">
        <v>18.554133063854636</v>
      </c>
      <c r="GH288" s="396">
        <v>4.8714573504032334E-3</v>
      </c>
      <c r="GI288" s="396">
        <v>0.73403634025184883</v>
      </c>
      <c r="GJ288" s="396">
        <v>0.39207706390713487</v>
      </c>
      <c r="GK288" s="396">
        <v>0</v>
      </c>
      <c r="GL288" s="396">
        <v>0</v>
      </c>
      <c r="GM288" s="396">
        <v>0</v>
      </c>
      <c r="GN288" s="396">
        <v>0</v>
      </c>
      <c r="GO288" s="396">
        <v>0</v>
      </c>
      <c r="GP288" s="396">
        <v>1742.598216408679</v>
      </c>
      <c r="GQ288" s="396">
        <v>1.9171560055500212</v>
      </c>
      <c r="GR288" s="396">
        <v>2.3730944376390138E-2</v>
      </c>
      <c r="GS288" s="396">
        <v>3.1417813640891978</v>
      </c>
      <c r="GT288" s="396">
        <v>0.11857481241591449</v>
      </c>
      <c r="GU288" s="396">
        <v>1739.4880200196831</v>
      </c>
      <c r="GV288" s="396">
        <v>17.794395805817853</v>
      </c>
      <c r="GW288" s="396">
        <v>1.662942822480842E-2</v>
      </c>
      <c r="GX288" s="396">
        <v>0.62071627440722055</v>
      </c>
      <c r="GY288" s="396">
        <v>0.33816471604025883</v>
      </c>
      <c r="GZ288" s="396">
        <v>0</v>
      </c>
      <c r="HA288" s="396">
        <v>0</v>
      </c>
      <c r="HB288" s="396">
        <v>0</v>
      </c>
      <c r="HC288" s="396">
        <v>0</v>
      </c>
      <c r="HD288" s="487">
        <v>0</v>
      </c>
    </row>
    <row r="289" spans="1:212" x14ac:dyDescent="0.35">
      <c r="B289" s="396">
        <v>2019</v>
      </c>
      <c r="C289" s="396">
        <v>295.40515634041276</v>
      </c>
      <c r="D289" s="396">
        <v>1.1786324053635084</v>
      </c>
      <c r="E289" s="396">
        <v>1.9376388561468177E-3</v>
      </c>
      <c r="F289" s="396">
        <v>4.3576720030289388E-2</v>
      </c>
      <c r="G289" s="396">
        <v>7.4397605423515714E-2</v>
      </c>
      <c r="H289" s="396">
        <v>290.00562246879093</v>
      </c>
      <c r="I289" s="396">
        <v>0.98679159089511459</v>
      </c>
      <c r="J289" s="396">
        <v>1.5378901685862128E-3</v>
      </c>
      <c r="K289" s="396">
        <v>3.2050004831809122E-2</v>
      </c>
      <c r="L289" s="396">
        <v>6.1674090082492174E-2</v>
      </c>
      <c r="M289" s="396">
        <v>289.52579787414913</v>
      </c>
      <c r="N289" s="396">
        <v>1.1703808986242494</v>
      </c>
      <c r="O289" s="396">
        <v>2.103572327215108E-3</v>
      </c>
      <c r="P289" s="396">
        <v>4.4471699524641785E-2</v>
      </c>
      <c r="Q289" s="396">
        <v>8.5764415459002902E-2</v>
      </c>
      <c r="R289" s="396">
        <v>0</v>
      </c>
      <c r="S289" s="396">
        <v>0</v>
      </c>
      <c r="T289" s="396">
        <v>0</v>
      </c>
      <c r="U289" s="396">
        <v>0</v>
      </c>
      <c r="V289" s="396">
        <v>0</v>
      </c>
      <c r="W289" s="396">
        <v>390.93122488519634</v>
      </c>
      <c r="X289" s="396">
        <v>1.3558637388615069</v>
      </c>
      <c r="Y289" s="396">
        <v>2.9266002230089374E-3</v>
      </c>
      <c r="Z289" s="396">
        <v>4.6764744696843642E-2</v>
      </c>
      <c r="AA289" s="396">
        <v>7.8321274402360905E-2</v>
      </c>
      <c r="AB289" s="396">
        <v>514.27203493731156</v>
      </c>
      <c r="AC289" s="396">
        <v>0.635171778097957</v>
      </c>
      <c r="AD289" s="396">
        <v>1.4834217803352335E-3</v>
      </c>
      <c r="AE289" s="396">
        <v>0.44879321299768216</v>
      </c>
      <c r="AF289" s="396">
        <v>5.7124473121358835E-2</v>
      </c>
      <c r="AG289" s="396">
        <v>378.2833765590039</v>
      </c>
      <c r="AH289" s="396">
        <v>1.3440542304725271</v>
      </c>
      <c r="AI289" s="396">
        <v>3.1564396940809338E-3</v>
      </c>
      <c r="AJ289" s="396">
        <v>4.6922658047130521E-2</v>
      </c>
      <c r="AK289" s="396">
        <v>8.9413434049727555E-2</v>
      </c>
      <c r="AL289" s="396">
        <v>0</v>
      </c>
      <c r="AM289" s="396">
        <v>0</v>
      </c>
      <c r="AN289" s="396">
        <v>0</v>
      </c>
      <c r="AO289" s="396">
        <v>0</v>
      </c>
      <c r="AP289" s="396">
        <v>0</v>
      </c>
      <c r="AQ289" s="396">
        <v>439.5926400027866</v>
      </c>
      <c r="AR289" s="396">
        <v>1.2747981922202773</v>
      </c>
      <c r="AS289" s="396">
        <v>3.1321002812682323E-3</v>
      </c>
      <c r="AT289" s="396">
        <v>5.2624415475848368E-2</v>
      </c>
      <c r="AU289" s="396">
        <v>8.0130445762254338E-2</v>
      </c>
      <c r="AV289" s="396">
        <v>526.22465795670291</v>
      </c>
      <c r="AW289" s="396">
        <v>0.60327474935028635</v>
      </c>
      <c r="AX289" s="396">
        <v>1.4226286657821781E-3</v>
      </c>
      <c r="AY289" s="396">
        <v>0.44859793569361139</v>
      </c>
      <c r="AZ289" s="396">
        <v>5.3214034456505327E-2</v>
      </c>
      <c r="BA289" s="396">
        <v>368.25809106222113</v>
      </c>
      <c r="BB289" s="396">
        <v>1.2226871198775893</v>
      </c>
      <c r="BC289" s="396">
        <v>2.9185429015957105E-3</v>
      </c>
      <c r="BD289" s="396">
        <v>4.3593370279410057E-2</v>
      </c>
      <c r="BE289" s="396">
        <v>8.3987861799385374E-2</v>
      </c>
      <c r="BF289" s="396">
        <v>0</v>
      </c>
      <c r="BG289" s="396">
        <v>0</v>
      </c>
      <c r="BH289" s="396">
        <v>0</v>
      </c>
      <c r="BI289" s="396">
        <v>0</v>
      </c>
      <c r="BJ289" s="396">
        <v>0</v>
      </c>
      <c r="BK289" s="396">
        <v>1812.6367939734303</v>
      </c>
      <c r="BL289" s="396">
        <v>19.587624493120007</v>
      </c>
      <c r="BM289" s="396">
        <v>1.1867184716401705E-2</v>
      </c>
      <c r="BN289" s="396">
        <v>0.33930278197232167</v>
      </c>
      <c r="BO289" s="396">
        <v>0.41283502151942408</v>
      </c>
      <c r="BP289" s="396">
        <v>1767.1053526491191</v>
      </c>
      <c r="BQ289" s="396">
        <v>1.9276621551157362</v>
      </c>
      <c r="BR289" s="396">
        <v>3.77183794690426E-3</v>
      </c>
      <c r="BS289" s="396">
        <v>2.7709197669409869</v>
      </c>
      <c r="BT289" s="396">
        <v>0.10866773220884628</v>
      </c>
      <c r="BU289" s="396">
        <v>1962.5124906759743</v>
      </c>
      <c r="BV289" s="396">
        <v>19.468622014552516</v>
      </c>
      <c r="BW289" s="396">
        <v>5.8797798826228306E-3</v>
      </c>
      <c r="BX289" s="396">
        <v>0.92438320690189013</v>
      </c>
      <c r="BY289" s="396">
        <v>0.48544607546479385</v>
      </c>
      <c r="BZ289" s="396">
        <v>0</v>
      </c>
      <c r="CA289" s="396">
        <v>0</v>
      </c>
      <c r="CB289" s="396">
        <v>0</v>
      </c>
      <c r="CC289" s="396">
        <v>0</v>
      </c>
      <c r="CD289" s="396">
        <v>0</v>
      </c>
      <c r="CE289" s="396">
        <v>1737.7650833804191</v>
      </c>
      <c r="CF289" s="396">
        <v>18.651969042719184</v>
      </c>
      <c r="CG289" s="396">
        <v>1.1663254039427506E-2</v>
      </c>
      <c r="CH289" s="396">
        <v>0.32730637444210026</v>
      </c>
      <c r="CI289" s="396">
        <v>0.39411697622219571</v>
      </c>
      <c r="CJ289" s="396">
        <v>1691.4100122495925</v>
      </c>
      <c r="CK289" s="396">
        <v>1.6703498562569028</v>
      </c>
      <c r="CL289" s="396">
        <v>3.1406645949374583E-3</v>
      </c>
      <c r="CM289" s="396">
        <v>2.1280835673639271</v>
      </c>
      <c r="CN289" s="396">
        <v>9.9726332260065401E-2</v>
      </c>
      <c r="CO289" s="396">
        <v>1838.9997987626482</v>
      </c>
      <c r="CP289" s="396">
        <v>18.611359074514578</v>
      </c>
      <c r="CQ289" s="396">
        <v>5.2201485028457034E-3</v>
      </c>
      <c r="CR289" s="396">
        <v>0.82478418584011426</v>
      </c>
      <c r="CS289" s="396">
        <v>0.43124338883700292</v>
      </c>
      <c r="CT289" s="396">
        <v>0</v>
      </c>
      <c r="CU289" s="396">
        <v>0</v>
      </c>
      <c r="CV289" s="396">
        <v>0</v>
      </c>
      <c r="CW289" s="396">
        <v>0</v>
      </c>
      <c r="CX289" s="396">
        <v>0</v>
      </c>
      <c r="CY289" s="396">
        <v>1409.8780558650956</v>
      </c>
      <c r="CZ289" s="396">
        <v>10.203222620663432</v>
      </c>
      <c r="DA289" s="396">
        <v>9.5411119150352001E-3</v>
      </c>
      <c r="DB289" s="396">
        <v>0.24971666076926735</v>
      </c>
      <c r="DC289" s="396">
        <v>0.36226227759322727</v>
      </c>
      <c r="DD289" s="396">
        <v>1325.6465206742546</v>
      </c>
      <c r="DE289" s="396">
        <v>0.73852740959515917</v>
      </c>
      <c r="DF289" s="396">
        <v>7.9665484080103724E-3</v>
      </c>
      <c r="DG289" s="396">
        <v>1.1856000576285837</v>
      </c>
      <c r="DH289" s="396">
        <v>9.5582408874801905E-2</v>
      </c>
      <c r="DI289" s="396">
        <v>1618.9846217375677</v>
      </c>
      <c r="DJ289" s="396">
        <v>17.085547798025527</v>
      </c>
      <c r="DK289" s="396">
        <v>5.1651614679320028E-3</v>
      </c>
      <c r="DL289" s="396">
        <v>0.73893812753787214</v>
      </c>
      <c r="DM289" s="396">
        <v>0.42121527273283427</v>
      </c>
      <c r="DN289" s="396">
        <v>0</v>
      </c>
      <c r="DO289" s="396">
        <v>0</v>
      </c>
      <c r="DP289" s="396">
        <v>0</v>
      </c>
      <c r="DQ289" s="396">
        <v>0</v>
      </c>
      <c r="DR289" s="396">
        <v>0</v>
      </c>
      <c r="DS289" s="396">
        <v>1990.9917764649263</v>
      </c>
      <c r="DT289" s="396">
        <v>29.691669747295443</v>
      </c>
      <c r="DU289" s="396">
        <v>5.6769943293180532E-3</v>
      </c>
      <c r="DV289" s="396">
        <v>0.33993924767557843</v>
      </c>
      <c r="DW289" s="396">
        <v>0.42885142534299603</v>
      </c>
      <c r="DX289" s="396">
        <v>1823.1556889787184</v>
      </c>
      <c r="DY289" s="396">
        <v>1.7996101335552648</v>
      </c>
      <c r="DZ289" s="396">
        <v>5.0317292830816783E-3</v>
      </c>
      <c r="EA289" s="396">
        <v>2.6950818372765819</v>
      </c>
      <c r="EB289" s="396">
        <v>0.10025710379265247</v>
      </c>
      <c r="EC289" s="396">
        <v>2058.893755942122</v>
      </c>
      <c r="ED289" s="396">
        <v>19.813585590435299</v>
      </c>
      <c r="EE289" s="396">
        <v>5.8005096658519531E-3</v>
      </c>
      <c r="EF289" s="396">
        <v>1.0149513559976904</v>
      </c>
      <c r="EG289" s="396">
        <v>0.51199277611603355</v>
      </c>
      <c r="EH289" s="396">
        <v>0</v>
      </c>
      <c r="EI289" s="396">
        <v>0</v>
      </c>
      <c r="EJ289" s="396">
        <v>0</v>
      </c>
      <c r="EK289" s="396">
        <v>0</v>
      </c>
      <c r="EL289" s="396">
        <v>0</v>
      </c>
      <c r="EM289" s="396">
        <v>1123.9090514507029</v>
      </c>
      <c r="EN289" s="396">
        <v>3.9948248806383759</v>
      </c>
      <c r="EO289" s="396">
        <v>1.1065473606891257E-2</v>
      </c>
      <c r="EP289" s="396">
        <v>0.21375913992854997</v>
      </c>
      <c r="EQ289" s="396">
        <v>0.25343728089212381</v>
      </c>
      <c r="ER289" s="396">
        <v>931.05529154408998</v>
      </c>
      <c r="ES289" s="396">
        <v>0.83924914580417331</v>
      </c>
      <c r="ET289" s="396">
        <v>2.9465635205998784E-3</v>
      </c>
      <c r="EU289" s="396">
        <v>0.85195242764828649</v>
      </c>
      <c r="EV289" s="396">
        <v>0.12314584328614651</v>
      </c>
      <c r="EW289" s="396">
        <v>1867.3598759520228</v>
      </c>
      <c r="EX289" s="396">
        <v>18.445234946261078</v>
      </c>
      <c r="EY289" s="396">
        <v>5.7197975099192774E-3</v>
      </c>
      <c r="EZ289" s="396">
        <v>0.87614356729146714</v>
      </c>
      <c r="FA289" s="396">
        <v>0.46888919292804915</v>
      </c>
      <c r="FB289" s="396">
        <v>0</v>
      </c>
      <c r="FC289" s="396">
        <v>0</v>
      </c>
      <c r="FD289" s="396">
        <v>0</v>
      </c>
      <c r="FE289" s="396">
        <v>0</v>
      </c>
      <c r="FF289" s="396">
        <v>0</v>
      </c>
      <c r="FG289" s="396">
        <v>1046.6354444454914</v>
      </c>
      <c r="FH289" s="396">
        <v>2.7183969242656967</v>
      </c>
      <c r="FI289" s="396">
        <v>5.8104616428416621E-3</v>
      </c>
      <c r="FJ289" s="396">
        <v>7.2214641776839644E-2</v>
      </c>
      <c r="FK289" s="396">
        <v>0.12598543172416393</v>
      </c>
      <c r="FL289" s="396">
        <v>863.29032080016725</v>
      </c>
      <c r="FM289" s="396">
        <v>0.74074205490307388</v>
      </c>
      <c r="FN289" s="396">
        <v>2.5087424649217218E-3</v>
      </c>
      <c r="FO289" s="396">
        <v>0.63684569500132071</v>
      </c>
      <c r="FP289" s="396">
        <v>3.9484007301485921E-2</v>
      </c>
      <c r="FQ289" s="396">
        <v>1647.6839774833527</v>
      </c>
      <c r="FR289" s="396">
        <v>16.913743392599713</v>
      </c>
      <c r="FS289" s="396">
        <v>5.0438062058076466E-3</v>
      </c>
      <c r="FT289" s="396">
        <v>0.80105718404613169</v>
      </c>
      <c r="FU289" s="396">
        <v>0.4257649996567584</v>
      </c>
      <c r="FV289" s="396">
        <v>0</v>
      </c>
      <c r="FW289" s="396">
        <v>0</v>
      </c>
      <c r="FX289" s="396">
        <v>0</v>
      </c>
      <c r="FY289" s="396">
        <v>0</v>
      </c>
      <c r="FZ289" s="396">
        <v>0</v>
      </c>
      <c r="GA289" s="396">
        <v>1754.8863221417178</v>
      </c>
      <c r="GB289" s="396">
        <v>1.416389598908385</v>
      </c>
      <c r="GC289" s="396">
        <v>9.7481213845059863E-3</v>
      </c>
      <c r="GD289" s="396">
        <v>2.1115676589856438</v>
      </c>
      <c r="GE289" s="396">
        <v>9.5638152710779703E-2</v>
      </c>
      <c r="GF289" s="396">
        <v>1843.0287738142083</v>
      </c>
      <c r="GG289" s="396">
        <v>18.554133197527719</v>
      </c>
      <c r="GH289" s="396">
        <v>4.8714669321049103E-3</v>
      </c>
      <c r="GI289" s="396">
        <v>0.73403898238385135</v>
      </c>
      <c r="GJ289" s="396">
        <v>0.39207697709051903</v>
      </c>
      <c r="GK289" s="396">
        <v>0</v>
      </c>
      <c r="GL289" s="396">
        <v>0</v>
      </c>
      <c r="GM289" s="396">
        <v>0</v>
      </c>
      <c r="GN289" s="396">
        <v>0</v>
      </c>
      <c r="GO289" s="396">
        <v>0</v>
      </c>
      <c r="GP289" s="396">
        <v>1741.5645869839177</v>
      </c>
      <c r="GQ289" s="396">
        <v>1.8217703774374059</v>
      </c>
      <c r="GR289" s="396">
        <v>1.1010978406764186E-2</v>
      </c>
      <c r="GS289" s="396">
        <v>2.8134354266844168</v>
      </c>
      <c r="GT289" s="396">
        <v>9.8153271242643017E-2</v>
      </c>
      <c r="GU289" s="396">
        <v>1739.4902848661177</v>
      </c>
      <c r="GV289" s="396">
        <v>17.794371514463798</v>
      </c>
      <c r="GW289" s="396">
        <v>7.7722713402962077E-3</v>
      </c>
      <c r="GX289" s="396">
        <v>0.62071719360893163</v>
      </c>
      <c r="GY289" s="396">
        <v>0.3381662516738641</v>
      </c>
      <c r="GZ289" s="396">
        <v>0</v>
      </c>
      <c r="HA289" s="396">
        <v>0</v>
      </c>
      <c r="HB289" s="396">
        <v>0</v>
      </c>
      <c r="HC289" s="396">
        <v>0</v>
      </c>
      <c r="HD289" s="487">
        <v>0</v>
      </c>
    </row>
    <row r="290" spans="1:212" x14ac:dyDescent="0.35">
      <c r="B290" s="396">
        <v>2020</v>
      </c>
      <c r="C290" s="396">
        <v>287.66073602940196</v>
      </c>
      <c r="D290" s="396">
        <v>1.1110154636646252</v>
      </c>
      <c r="E290" s="396">
        <v>1.8739445948537711E-3</v>
      </c>
      <c r="F290" s="396">
        <v>3.9909590861852876E-2</v>
      </c>
      <c r="G290" s="396">
        <v>6.8899613296878284E-2</v>
      </c>
      <c r="H290" s="396">
        <v>282.35341661657208</v>
      </c>
      <c r="I290" s="396">
        <v>0.92138776211235651</v>
      </c>
      <c r="J290" s="396">
        <v>1.4900055061906757E-3</v>
      </c>
      <c r="K290" s="396">
        <v>2.8482210962876148E-2</v>
      </c>
      <c r="L290" s="396">
        <v>5.9172859026364051E-2</v>
      </c>
      <c r="M290" s="396">
        <v>281.92283547396465</v>
      </c>
      <c r="N290" s="396">
        <v>1.1031405351295407</v>
      </c>
      <c r="O290" s="396">
        <v>2.0335855715231002E-3</v>
      </c>
      <c r="P290" s="396">
        <v>4.074322604726921E-2</v>
      </c>
      <c r="Q290" s="396">
        <v>7.9196033186854212E-2</v>
      </c>
      <c r="R290" s="396">
        <v>0</v>
      </c>
      <c r="S290" s="396">
        <v>0</v>
      </c>
      <c r="T290" s="396">
        <v>0</v>
      </c>
      <c r="U290" s="396">
        <v>0</v>
      </c>
      <c r="V290" s="396">
        <v>0</v>
      </c>
      <c r="W290" s="396">
        <v>376.52545195772643</v>
      </c>
      <c r="X290" s="396">
        <v>1.2663598098295128</v>
      </c>
      <c r="Y290" s="396">
        <v>2.776326547525887E-3</v>
      </c>
      <c r="Z290" s="396">
        <v>4.2659422380254913E-2</v>
      </c>
      <c r="AA290" s="396">
        <v>7.252505032377754E-2</v>
      </c>
      <c r="AB290" s="396">
        <v>512.92170326809185</v>
      </c>
      <c r="AC290" s="396">
        <v>0.62698553763478193</v>
      </c>
      <c r="AD290" s="396">
        <v>1.4666490776163133E-3</v>
      </c>
      <c r="AE290" s="396">
        <v>0.410166702539072</v>
      </c>
      <c r="AF290" s="396">
        <v>5.6427108429552383E-2</v>
      </c>
      <c r="AG290" s="396">
        <v>363.98400290401116</v>
      </c>
      <c r="AH290" s="396">
        <v>1.2562789853485126</v>
      </c>
      <c r="AI290" s="396">
        <v>2.9985636410291717E-3</v>
      </c>
      <c r="AJ290" s="396">
        <v>4.2917874063550278E-2</v>
      </c>
      <c r="AK290" s="396">
        <v>8.254291865639414E-2</v>
      </c>
      <c r="AL290" s="396">
        <v>0</v>
      </c>
      <c r="AM290" s="396">
        <v>0</v>
      </c>
      <c r="AN290" s="396">
        <v>0</v>
      </c>
      <c r="AO290" s="396">
        <v>0</v>
      </c>
      <c r="AP290" s="396">
        <v>0</v>
      </c>
      <c r="AQ290" s="396">
        <v>428.22532583629157</v>
      </c>
      <c r="AR290" s="396">
        <v>1.1778156012748424</v>
      </c>
      <c r="AS290" s="396">
        <v>3.0132083538465526E-3</v>
      </c>
      <c r="AT290" s="396">
        <v>4.6912814500038869E-2</v>
      </c>
      <c r="AU290" s="396">
        <v>7.4232859585935271E-2</v>
      </c>
      <c r="AV290" s="396">
        <v>525.57473243433105</v>
      </c>
      <c r="AW290" s="396">
        <v>0.59950137054229391</v>
      </c>
      <c r="AX290" s="396">
        <v>1.4124960398903567E-3</v>
      </c>
      <c r="AY290" s="396">
        <v>0.40924255155029682</v>
      </c>
      <c r="AZ290" s="396">
        <v>5.2674003774156673E-2</v>
      </c>
      <c r="BA290" s="396">
        <v>354.33218148272738</v>
      </c>
      <c r="BB290" s="396">
        <v>1.1429263121413209</v>
      </c>
      <c r="BC290" s="396">
        <v>2.7697216191146039E-3</v>
      </c>
      <c r="BD290" s="396">
        <v>3.9831860391629205E-2</v>
      </c>
      <c r="BE290" s="396">
        <v>7.7515978104645125E-2</v>
      </c>
      <c r="BF290" s="396">
        <v>0</v>
      </c>
      <c r="BG290" s="396">
        <v>0</v>
      </c>
      <c r="BH290" s="396">
        <v>0</v>
      </c>
      <c r="BI290" s="396">
        <v>0</v>
      </c>
      <c r="BJ290" s="396">
        <v>0</v>
      </c>
      <c r="BK290" s="396">
        <v>1812.6425110835876</v>
      </c>
      <c r="BL290" s="396">
        <v>19.587642401670088</v>
      </c>
      <c r="BM290" s="396">
        <v>1.1867207023471384E-2</v>
      </c>
      <c r="BN290" s="396">
        <v>0.33930220446319548</v>
      </c>
      <c r="BO290" s="396">
        <v>0.41158951556078793</v>
      </c>
      <c r="BP290" s="396">
        <v>1767.0658306907421</v>
      </c>
      <c r="BQ290" s="396">
        <v>1.9270548259268376</v>
      </c>
      <c r="BR290" s="396">
        <v>3.7761447609118508E-3</v>
      </c>
      <c r="BS290" s="396">
        <v>2.7701838471303151</v>
      </c>
      <c r="BT290" s="396">
        <v>0.10866094225877605</v>
      </c>
      <c r="BU290" s="396">
        <v>1962.515155423707</v>
      </c>
      <c r="BV290" s="396">
        <v>19.468644395717789</v>
      </c>
      <c r="BW290" s="396">
        <v>5.8798142654456348E-3</v>
      </c>
      <c r="BX290" s="396">
        <v>0.9243853992003096</v>
      </c>
      <c r="BY290" s="396">
        <v>0.48544563394814905</v>
      </c>
      <c r="BZ290" s="396">
        <v>0</v>
      </c>
      <c r="CA290" s="396">
        <v>0</v>
      </c>
      <c r="CB290" s="396">
        <v>0</v>
      </c>
      <c r="CC290" s="396">
        <v>0</v>
      </c>
      <c r="CD290" s="396">
        <v>0</v>
      </c>
      <c r="CE290" s="396">
        <v>1737.7525808206647</v>
      </c>
      <c r="CF290" s="396">
        <v>18.651908888973598</v>
      </c>
      <c r="CG290" s="396">
        <v>1.1663195539399315E-2</v>
      </c>
      <c r="CH290" s="396">
        <v>0.32730315936112775</v>
      </c>
      <c r="CI290" s="396">
        <v>0.39232979058879791</v>
      </c>
      <c r="CJ290" s="396">
        <v>1691.3883534179522</v>
      </c>
      <c r="CK290" s="396">
        <v>1.6698489182128229</v>
      </c>
      <c r="CL290" s="396">
        <v>3.1450785677269244E-3</v>
      </c>
      <c r="CM290" s="396">
        <v>2.1276039556737074</v>
      </c>
      <c r="CN290" s="396">
        <v>9.9721775925668305E-2</v>
      </c>
      <c r="CO290" s="396">
        <v>1838.9966910413007</v>
      </c>
      <c r="CP290" s="396">
        <v>18.611299481187956</v>
      </c>
      <c r="CQ290" s="396">
        <v>5.2201233710527381E-3</v>
      </c>
      <c r="CR290" s="396">
        <v>0.82478042403692964</v>
      </c>
      <c r="CS290" s="396">
        <v>0.43124228930920377</v>
      </c>
      <c r="CT290" s="396">
        <v>0</v>
      </c>
      <c r="CU290" s="396">
        <v>0</v>
      </c>
      <c r="CV290" s="396">
        <v>0</v>
      </c>
      <c r="CW290" s="396">
        <v>0</v>
      </c>
      <c r="CX290" s="396">
        <v>0</v>
      </c>
      <c r="CY290" s="396">
        <v>1407.2749007385903</v>
      </c>
      <c r="CZ290" s="396">
        <v>10.119412543226742</v>
      </c>
      <c r="DA290" s="396">
        <v>9.6213123852623497E-3</v>
      </c>
      <c r="DB290" s="396">
        <v>0.24907014472953934</v>
      </c>
      <c r="DC290" s="396">
        <v>0.35885326388592409</v>
      </c>
      <c r="DD290" s="396">
        <v>1325.5453121234034</v>
      </c>
      <c r="DE290" s="396">
        <v>0.73727102916365383</v>
      </c>
      <c r="DF290" s="396">
        <v>7.9731561822125822E-3</v>
      </c>
      <c r="DG290" s="396">
        <v>1.1843591829356472</v>
      </c>
      <c r="DH290" s="396">
        <v>9.5571221981200286E-2</v>
      </c>
      <c r="DI290" s="396">
        <v>1618.9788815945583</v>
      </c>
      <c r="DJ290" s="396">
        <v>17.085475493685571</v>
      </c>
      <c r="DK290" s="396">
        <v>5.1651243112130554E-3</v>
      </c>
      <c r="DL290" s="396">
        <v>0.73893327005721221</v>
      </c>
      <c r="DM290" s="396">
        <v>0.42121266049724482</v>
      </c>
      <c r="DN290" s="396">
        <v>0</v>
      </c>
      <c r="DO290" s="396">
        <v>0</v>
      </c>
      <c r="DP290" s="396">
        <v>0</v>
      </c>
      <c r="DQ290" s="396">
        <v>0</v>
      </c>
      <c r="DR290" s="396">
        <v>0</v>
      </c>
      <c r="DS290" s="396">
        <v>1990.9879401792252</v>
      </c>
      <c r="DT290" s="396">
        <v>29.691625853478889</v>
      </c>
      <c r="DU290" s="396">
        <v>5.6769627368893358E-3</v>
      </c>
      <c r="DV290" s="396">
        <v>0.33993836750070899</v>
      </c>
      <c r="DW290" s="396">
        <v>0.42789293893048985</v>
      </c>
      <c r="DX290" s="396">
        <v>1822.9380322910481</v>
      </c>
      <c r="DY290" s="396">
        <v>1.7963747573885518</v>
      </c>
      <c r="DZ290" s="396">
        <v>5.055165404372822E-3</v>
      </c>
      <c r="EA290" s="396">
        <v>2.6909267910388364</v>
      </c>
      <c r="EB290" s="396">
        <v>0.10021215108340935</v>
      </c>
      <c r="EC290" s="396">
        <v>2058.897665887207</v>
      </c>
      <c r="ED290" s="396">
        <v>19.813588965025151</v>
      </c>
      <c r="EE290" s="396">
        <v>5.8005165373384371E-3</v>
      </c>
      <c r="EF290" s="396">
        <v>1.0149532130406289</v>
      </c>
      <c r="EG290" s="396">
        <v>0.51199436927766218</v>
      </c>
      <c r="EH290" s="396">
        <v>0</v>
      </c>
      <c r="EI290" s="396">
        <v>0</v>
      </c>
      <c r="EJ290" s="396">
        <v>0</v>
      </c>
      <c r="EK290" s="396">
        <v>0</v>
      </c>
      <c r="EL290" s="396">
        <v>0</v>
      </c>
      <c r="EM290" s="396">
        <v>1121.0319621246581</v>
      </c>
      <c r="EN290" s="396">
        <v>3.8024613847050759</v>
      </c>
      <c r="EO290" s="396">
        <v>1.1054064616153398E-2</v>
      </c>
      <c r="EP290" s="396">
        <v>0.20673517371277009</v>
      </c>
      <c r="EQ290" s="396">
        <v>0.24710969882952893</v>
      </c>
      <c r="ER290" s="396">
        <v>923.43413154595703</v>
      </c>
      <c r="ES290" s="396">
        <v>0.83209860827067461</v>
      </c>
      <c r="ET290" s="396">
        <v>2.8947637879169446E-3</v>
      </c>
      <c r="EU290" s="396">
        <v>0.81550799919191697</v>
      </c>
      <c r="EV290" s="396">
        <v>0.12275805384821876</v>
      </c>
      <c r="EW290" s="396">
        <v>1867.3625263243846</v>
      </c>
      <c r="EX290" s="396">
        <v>18.4452367748674</v>
      </c>
      <c r="EY290" s="396">
        <v>5.7197826686036426E-3</v>
      </c>
      <c r="EZ290" s="396">
        <v>0.87614696066056763</v>
      </c>
      <c r="FA290" s="396">
        <v>0.46889214742335733</v>
      </c>
      <c r="FB290" s="396">
        <v>0</v>
      </c>
      <c r="FC290" s="396">
        <v>0</v>
      </c>
      <c r="FD290" s="396">
        <v>0</v>
      </c>
      <c r="FE290" s="396">
        <v>0</v>
      </c>
      <c r="FF290" s="396">
        <v>0</v>
      </c>
      <c r="FG290" s="396">
        <v>1044.1456997947762</v>
      </c>
      <c r="FH290" s="396">
        <v>2.5566354160074498</v>
      </c>
      <c r="FI290" s="396">
        <v>5.8290405113415487E-3</v>
      </c>
      <c r="FJ290" s="396">
        <v>6.7560550035710723E-2</v>
      </c>
      <c r="FK290" s="396">
        <v>0.12145898690003708</v>
      </c>
      <c r="FL290" s="396">
        <v>856.32051487329284</v>
      </c>
      <c r="FM290" s="396">
        <v>0.73499099830900994</v>
      </c>
      <c r="FN290" s="396">
        <v>2.4662407298203957E-3</v>
      </c>
      <c r="FO290" s="396">
        <v>0.60682332082339108</v>
      </c>
      <c r="FP290" s="396">
        <v>3.9134900395605764E-2</v>
      </c>
      <c r="FQ290" s="396">
        <v>1647.6801351974188</v>
      </c>
      <c r="FR290" s="396">
        <v>16.913696420341065</v>
      </c>
      <c r="FS290" s="396">
        <v>5.0437855277308341E-3</v>
      </c>
      <c r="FT290" s="396">
        <v>0.80105430941772926</v>
      </c>
      <c r="FU290" s="396">
        <v>0.42576288600399448</v>
      </c>
      <c r="FV290" s="396">
        <v>0</v>
      </c>
      <c r="FW290" s="396">
        <v>0</v>
      </c>
      <c r="FX290" s="396">
        <v>0</v>
      </c>
      <c r="FY290" s="396">
        <v>0</v>
      </c>
      <c r="FZ290" s="396">
        <v>0</v>
      </c>
      <c r="GA290" s="396">
        <v>1754.4419615596626</v>
      </c>
      <c r="GB290" s="396">
        <v>1.4024715889399035</v>
      </c>
      <c r="GC290" s="396">
        <v>5.4809663226202537E-3</v>
      </c>
      <c r="GD290" s="396">
        <v>1.9631506157517584</v>
      </c>
      <c r="GE290" s="396">
        <v>9.1509854338648611E-2</v>
      </c>
      <c r="GF290" s="396">
        <v>1843.0222638130804</v>
      </c>
      <c r="GG290" s="396">
        <v>18.554057072898729</v>
      </c>
      <c r="GH290" s="396">
        <v>4.8714426183946906E-3</v>
      </c>
      <c r="GI290" s="396">
        <v>0.73403740714616161</v>
      </c>
      <c r="GJ290" s="396">
        <v>0.39207670698908181</v>
      </c>
      <c r="GK290" s="396">
        <v>0</v>
      </c>
      <c r="GL290" s="396">
        <v>0</v>
      </c>
      <c r="GM290" s="396">
        <v>0</v>
      </c>
      <c r="GN290" s="396">
        <v>0</v>
      </c>
      <c r="GO290" s="396">
        <v>0</v>
      </c>
      <c r="GP290" s="396">
        <v>1741.3469792960564</v>
      </c>
      <c r="GQ290" s="396">
        <v>1.7857211370143542</v>
      </c>
      <c r="GR290" s="396">
        <v>5.2456105433286498E-3</v>
      </c>
      <c r="GS290" s="396">
        <v>2.6756861748301048</v>
      </c>
      <c r="GT290" s="396">
        <v>8.9155488199663319E-2</v>
      </c>
      <c r="GU290" s="396">
        <v>1739.4856575877573</v>
      </c>
      <c r="GV290" s="396">
        <v>17.794334546039636</v>
      </c>
      <c r="GW290" s="396">
        <v>3.765844418729512E-3</v>
      </c>
      <c r="GX290" s="396">
        <v>0.62071493058969707</v>
      </c>
      <c r="GY290" s="396">
        <v>0.33816330118320803</v>
      </c>
      <c r="GZ290" s="396">
        <v>0</v>
      </c>
      <c r="HA290" s="396">
        <v>0</v>
      </c>
      <c r="HB290" s="396">
        <v>0</v>
      </c>
      <c r="HC290" s="396">
        <v>0</v>
      </c>
      <c r="HD290" s="487">
        <v>0</v>
      </c>
    </row>
    <row r="291" spans="1:212" x14ac:dyDescent="0.35">
      <c r="B291" s="396">
        <v>2021</v>
      </c>
      <c r="C291" s="396">
        <v>276.22419587133942</v>
      </c>
      <c r="D291" s="396">
        <v>2.7912102300004364</v>
      </c>
      <c r="E291" s="396">
        <v>4.3669532579758219E-3</v>
      </c>
      <c r="F291" s="396">
        <v>4.4734157465194428E-2</v>
      </c>
      <c r="G291" s="396">
        <v>0.20802328372539608</v>
      </c>
      <c r="H291" s="396">
        <v>271.6156498700563</v>
      </c>
      <c r="I291" s="396">
        <v>2.7248025564016216</v>
      </c>
      <c r="J291" s="396">
        <v>3.5440072539244336E-3</v>
      </c>
      <c r="K291" s="396">
        <v>3.6015128072889806E-2</v>
      </c>
      <c r="L291" s="396">
        <v>5.9651730728392444E-2</v>
      </c>
      <c r="M291" s="396">
        <v>270.8283332115912</v>
      </c>
      <c r="N291" s="396">
        <v>2.7802120399453201</v>
      </c>
      <c r="O291" s="396">
        <v>4.7217340943953422E-3</v>
      </c>
      <c r="P291" s="396">
        <v>4.5611023572747864E-2</v>
      </c>
      <c r="Q291" s="396">
        <v>0.2662656134236312</v>
      </c>
      <c r="R291" s="396">
        <v>0</v>
      </c>
      <c r="S291" s="396">
        <v>0</v>
      </c>
      <c r="T291" s="396">
        <v>0</v>
      </c>
      <c r="U291" s="396">
        <v>0</v>
      </c>
      <c r="V291" s="396">
        <v>0</v>
      </c>
      <c r="W291" s="396">
        <v>365.59705119058702</v>
      </c>
      <c r="X291" s="396">
        <v>2.8111448866279969</v>
      </c>
      <c r="Y291" s="396">
        <v>4.7953048585047094E-3</v>
      </c>
      <c r="Z291" s="396">
        <v>6.2692701386519431E-2</v>
      </c>
      <c r="AA291" s="396">
        <v>0.21470475717815896</v>
      </c>
      <c r="AB291" s="396">
        <v>497.63354440655951</v>
      </c>
      <c r="AC291" s="396">
        <v>0.8379018509498295</v>
      </c>
      <c r="AD291" s="396">
        <v>2.0894422795908426E-3</v>
      </c>
      <c r="AE291" s="396">
        <v>0.41703604481246959</v>
      </c>
      <c r="AF291" s="396">
        <v>5.0993667803214814E-2</v>
      </c>
      <c r="AG291" s="396">
        <v>353.55360373122949</v>
      </c>
      <c r="AH291" s="396">
        <v>2.8040777630059064</v>
      </c>
      <c r="AI291" s="396">
        <v>5.1530959178780807E-3</v>
      </c>
      <c r="AJ291" s="396">
        <v>6.3393849573916264E-2</v>
      </c>
      <c r="AK291" s="396">
        <v>0.27003846740622883</v>
      </c>
      <c r="AL291" s="396">
        <v>0</v>
      </c>
      <c r="AM291" s="396">
        <v>0</v>
      </c>
      <c r="AN291" s="396">
        <v>0</v>
      </c>
      <c r="AO291" s="396">
        <v>0</v>
      </c>
      <c r="AP291" s="396">
        <v>0</v>
      </c>
      <c r="AQ291" s="396">
        <v>417.74206398889129</v>
      </c>
      <c r="AR291" s="396">
        <v>2.5695546273005609</v>
      </c>
      <c r="AS291" s="396">
        <v>5.5318806269135778E-3</v>
      </c>
      <c r="AT291" s="396">
        <v>6.6919723648118018E-2</v>
      </c>
      <c r="AU291" s="396">
        <v>0.22366405262978178</v>
      </c>
      <c r="AV291" s="396">
        <v>511.15820064176296</v>
      </c>
      <c r="AW291" s="396">
        <v>0.73778358228318874</v>
      </c>
      <c r="AX291" s="396">
        <v>2.023049844748701E-3</v>
      </c>
      <c r="AY291" s="396">
        <v>0.43313036784611525</v>
      </c>
      <c r="AZ291" s="396">
        <v>4.9733521307051602E-2</v>
      </c>
      <c r="BA291" s="396">
        <v>345.26312578989211</v>
      </c>
      <c r="BB291" s="396">
        <v>2.5807429321936648</v>
      </c>
      <c r="BC291" s="396">
        <v>5.0214736264218062E-3</v>
      </c>
      <c r="BD291" s="396">
        <v>6.1562685261257695E-2</v>
      </c>
      <c r="BE291" s="396">
        <v>0.26112425347457191</v>
      </c>
      <c r="BF291" s="396">
        <v>0</v>
      </c>
      <c r="BG291" s="396">
        <v>0</v>
      </c>
      <c r="BH291" s="396">
        <v>0</v>
      </c>
      <c r="BI291" s="396">
        <v>0</v>
      </c>
      <c r="BJ291" s="396">
        <v>0</v>
      </c>
      <c r="BK291" s="396">
        <v>1625.498339316088</v>
      </c>
      <c r="BL291" s="396">
        <v>42.010473844899096</v>
      </c>
      <c r="BM291" s="396">
        <v>2.4790496273521884E-2</v>
      </c>
      <c r="BN291" s="396">
        <v>0.44085389737563652</v>
      </c>
      <c r="BO291" s="396">
        <v>0.75440926334315261</v>
      </c>
      <c r="BP291" s="396">
        <v>1588.775382069862</v>
      </c>
      <c r="BQ291" s="396">
        <v>2.1785553364209158</v>
      </c>
      <c r="BR291" s="396">
        <v>5.2422545753589246E-3</v>
      </c>
      <c r="BS291" s="396">
        <v>3.7113405869361284</v>
      </c>
      <c r="BT291" s="396">
        <v>0.10922556833430588</v>
      </c>
      <c r="BU291" s="396">
        <v>2284.3189867983256</v>
      </c>
      <c r="BV291" s="396">
        <v>44.968838324210225</v>
      </c>
      <c r="BW291" s="396">
        <v>1.013409180351329E-2</v>
      </c>
      <c r="BX291" s="396">
        <v>1.3490966333941541</v>
      </c>
      <c r="BY291" s="396">
        <v>1.2568924188758901</v>
      </c>
      <c r="BZ291" s="396">
        <v>0</v>
      </c>
      <c r="CA291" s="396">
        <v>0</v>
      </c>
      <c r="CB291" s="396">
        <v>0</v>
      </c>
      <c r="CC291" s="396">
        <v>0</v>
      </c>
      <c r="CD291" s="396">
        <v>0</v>
      </c>
      <c r="CE291" s="396">
        <v>1620.764005119622</v>
      </c>
      <c r="CF291" s="396">
        <v>43.953529585507532</v>
      </c>
      <c r="CG291" s="396">
        <v>2.5809195628630502E-2</v>
      </c>
      <c r="CH291" s="396">
        <v>0.46592990056118933</v>
      </c>
      <c r="CI291" s="396">
        <v>0.76697548488726996</v>
      </c>
      <c r="CJ291" s="396">
        <v>1578.3117833617955</v>
      </c>
      <c r="CK291" s="396">
        <v>2.0207729075745666</v>
      </c>
      <c r="CL291" s="396">
        <v>5.065101695987278E-3</v>
      </c>
      <c r="CM291" s="396">
        <v>3.2690087013092621</v>
      </c>
      <c r="CN291" s="396">
        <v>0.10622464377038662</v>
      </c>
      <c r="CO291" s="396">
        <v>2140.6960622643292</v>
      </c>
      <c r="CP291" s="396">
        <v>44.03877866123289</v>
      </c>
      <c r="CQ291" s="396">
        <v>9.0972039871017873E-3</v>
      </c>
      <c r="CR291" s="396">
        <v>1.1961883054817397</v>
      </c>
      <c r="CS291" s="396">
        <v>1.0852405810497125</v>
      </c>
      <c r="CT291" s="396">
        <v>0</v>
      </c>
      <c r="CU291" s="396">
        <v>0</v>
      </c>
      <c r="CV291" s="396">
        <v>0</v>
      </c>
      <c r="CW291" s="396">
        <v>0</v>
      </c>
      <c r="CX291" s="396">
        <v>0</v>
      </c>
      <c r="CY291" s="396">
        <v>1295.087074561766</v>
      </c>
      <c r="CZ291" s="396">
        <v>22.082286891447684</v>
      </c>
      <c r="DA291" s="396">
        <v>2.3220773275516759E-2</v>
      </c>
      <c r="DB291" s="396">
        <v>0.35909180500893317</v>
      </c>
      <c r="DC291" s="396">
        <v>0.7669784268719918</v>
      </c>
      <c r="DD291" s="396">
        <v>1212.369468122801</v>
      </c>
      <c r="DE291" s="396">
        <v>0.86304167766892126</v>
      </c>
      <c r="DF291" s="396">
        <v>1.2236448043404175E-2</v>
      </c>
      <c r="DG291" s="396">
        <v>1.686748320322462</v>
      </c>
      <c r="DH291" s="396">
        <v>9.6972630904261198E-2</v>
      </c>
      <c r="DI291" s="396">
        <v>1922.2569600753311</v>
      </c>
      <c r="DJ291" s="396">
        <v>39.764012043067602</v>
      </c>
      <c r="DK291" s="396">
        <v>8.8882464451061627E-3</v>
      </c>
      <c r="DL291" s="396">
        <v>1.0494814790340765</v>
      </c>
      <c r="DM291" s="396">
        <v>1.0860216163977352</v>
      </c>
      <c r="DN291" s="396">
        <v>0</v>
      </c>
      <c r="DO291" s="396">
        <v>0</v>
      </c>
      <c r="DP291" s="396">
        <v>0</v>
      </c>
      <c r="DQ291" s="396">
        <v>0</v>
      </c>
      <c r="DR291" s="396">
        <v>0</v>
      </c>
      <c r="DS291" s="396">
        <v>1856.1143746224559</v>
      </c>
      <c r="DT291" s="396">
        <v>70.291287748766749</v>
      </c>
      <c r="DU291" s="396">
        <v>1.2065485407132827E-2</v>
      </c>
      <c r="DV291" s="396">
        <v>0.42480075426334157</v>
      </c>
      <c r="DW291" s="396">
        <v>0.90376696980098659</v>
      </c>
      <c r="DX291" s="396">
        <v>1687.4368177833121</v>
      </c>
      <c r="DY291" s="396">
        <v>2.0765787716552064</v>
      </c>
      <c r="DZ291" s="396">
        <v>7.5644747364634673E-3</v>
      </c>
      <c r="EA291" s="396">
        <v>3.7203229209406907</v>
      </c>
      <c r="EB291" s="396">
        <v>0.10342622242120306</v>
      </c>
      <c r="EC291" s="396">
        <v>2417.9216006221932</v>
      </c>
      <c r="ED291" s="396">
        <v>46.405462489229805</v>
      </c>
      <c r="EE291" s="396">
        <v>1.0098056409122449E-2</v>
      </c>
      <c r="EF291" s="396">
        <v>1.5297867311226163</v>
      </c>
      <c r="EG291" s="396">
        <v>1.3031895020167901</v>
      </c>
      <c r="EH291" s="396">
        <v>0</v>
      </c>
      <c r="EI291" s="396">
        <v>0</v>
      </c>
      <c r="EJ291" s="396">
        <v>0</v>
      </c>
      <c r="EK291" s="396">
        <v>0</v>
      </c>
      <c r="EL291" s="396">
        <v>0</v>
      </c>
      <c r="EM291" s="396">
        <v>1067.0225636824985</v>
      </c>
      <c r="EN291" s="396">
        <v>8.2003662538072977</v>
      </c>
      <c r="EO291" s="396">
        <v>2.7939139727239774E-2</v>
      </c>
      <c r="EP291" s="396">
        <v>0.36394424280085302</v>
      </c>
      <c r="EQ291" s="396">
        <v>0.90540483285550855</v>
      </c>
      <c r="ER291" s="396">
        <v>868.98080931203901</v>
      </c>
      <c r="ES291" s="396">
        <v>0.9805035423522217</v>
      </c>
      <c r="ET291" s="396">
        <v>4.4224281025222884E-3</v>
      </c>
      <c r="EU291" s="396">
        <v>1.109536270109037</v>
      </c>
      <c r="EV291" s="396">
        <v>0.13539128119578828</v>
      </c>
      <c r="EW291" s="396">
        <v>2222.3419117028257</v>
      </c>
      <c r="EX291" s="396">
        <v>42.342584956154376</v>
      </c>
      <c r="EY291" s="396">
        <v>9.9117196573140567E-3</v>
      </c>
      <c r="EZ291" s="396">
        <v>1.283717368252739</v>
      </c>
      <c r="FA291" s="396">
        <v>1.2087281683582156</v>
      </c>
      <c r="FB291" s="396">
        <v>0</v>
      </c>
      <c r="FC291" s="396">
        <v>0</v>
      </c>
      <c r="FD291" s="396">
        <v>0</v>
      </c>
      <c r="FE291" s="396">
        <v>0</v>
      </c>
      <c r="FF291" s="396">
        <v>0</v>
      </c>
      <c r="FG291" s="396">
        <v>989.95908758575274</v>
      </c>
      <c r="FH291" s="396">
        <v>5.6018584295647935</v>
      </c>
      <c r="FI291" s="396">
        <v>1.0436139817786788E-2</v>
      </c>
      <c r="FJ291" s="396">
        <v>8.4739306511244436E-2</v>
      </c>
      <c r="FK291" s="396">
        <v>0.64872155187165226</v>
      </c>
      <c r="FL291" s="396">
        <v>802.82451702775029</v>
      </c>
      <c r="FM291" s="396">
        <v>0.86781498588657935</v>
      </c>
      <c r="FN291" s="396">
        <v>3.8161818615051876E-3</v>
      </c>
      <c r="FO291" s="396">
        <v>0.85117672935224897</v>
      </c>
      <c r="FP291" s="396">
        <v>4.105919388540636E-2</v>
      </c>
      <c r="FQ291" s="396">
        <v>1951.074664128836</v>
      </c>
      <c r="FR291" s="396">
        <v>39.662522092721453</v>
      </c>
      <c r="FS291" s="396">
        <v>8.8076110197876627E-3</v>
      </c>
      <c r="FT291" s="396">
        <v>1.1763586251220506</v>
      </c>
      <c r="FU291" s="396">
        <v>1.089569763561532</v>
      </c>
      <c r="FV291" s="396">
        <v>0</v>
      </c>
      <c r="FW291" s="396">
        <v>0</v>
      </c>
      <c r="FX291" s="396">
        <v>0</v>
      </c>
      <c r="FY291" s="396">
        <v>0</v>
      </c>
      <c r="FZ291" s="396">
        <v>0</v>
      </c>
      <c r="GA291" s="396">
        <v>1599.8313313029003</v>
      </c>
      <c r="GB291" s="396">
        <v>1.6005392154720757</v>
      </c>
      <c r="GC291" s="396">
        <v>7.9920122699922661E-3</v>
      </c>
      <c r="GD291" s="396">
        <v>2.677034402296691</v>
      </c>
      <c r="GE291" s="396">
        <v>9.1431979759756338E-2</v>
      </c>
      <c r="GF291" s="396">
        <v>2076.1870058302056</v>
      </c>
      <c r="GG291" s="396">
        <v>43.629951681175626</v>
      </c>
      <c r="GH291" s="396">
        <v>8.4658773260921673E-3</v>
      </c>
      <c r="GI291" s="396">
        <v>1.0399329127066528</v>
      </c>
      <c r="GJ291" s="396">
        <v>0.98066747863589177</v>
      </c>
      <c r="GK291" s="396">
        <v>0</v>
      </c>
      <c r="GL291" s="396">
        <v>0</v>
      </c>
      <c r="GM291" s="396">
        <v>0</v>
      </c>
      <c r="GN291" s="396">
        <v>0</v>
      </c>
      <c r="GO291" s="396">
        <v>0</v>
      </c>
      <c r="GP291" s="396">
        <v>1589.3055067448838</v>
      </c>
      <c r="GQ291" s="396">
        <v>1.7227974372144577</v>
      </c>
      <c r="GR291" s="396">
        <v>5.1830265019419137E-3</v>
      </c>
      <c r="GS291" s="396">
        <v>2.5819794003946908</v>
      </c>
      <c r="GT291" s="396">
        <v>8.3356852567741696E-2</v>
      </c>
      <c r="GU291" s="396">
        <v>1893.7608184747887</v>
      </c>
      <c r="GV291" s="396">
        <v>41.83090811860567</v>
      </c>
      <c r="GW291" s="396">
        <v>0.77715876947325468</v>
      </c>
      <c r="GX291" s="396">
        <v>0.78776615207081446</v>
      </c>
      <c r="GY291" s="396">
        <f>GY$290</f>
        <v>0.33816330118320803</v>
      </c>
      <c r="GZ291" s="396">
        <v>0</v>
      </c>
      <c r="HA291" s="396">
        <v>0</v>
      </c>
      <c r="HB291" s="396">
        <v>0</v>
      </c>
      <c r="HC291" s="396">
        <v>0</v>
      </c>
      <c r="HD291" s="487">
        <v>0</v>
      </c>
    </row>
    <row r="292" spans="1:212" x14ac:dyDescent="0.35">
      <c r="B292" s="396">
        <v>2022</v>
      </c>
      <c r="C292" s="396">
        <v>265.19341076868244</v>
      </c>
      <c r="D292" s="396">
        <v>2.6062225096549216</v>
      </c>
      <c r="E292" s="396">
        <v>4.4055287516397753E-3</v>
      </c>
      <c r="F292" s="396">
        <v>4.1374140610933308E-2</v>
      </c>
      <c r="G292" s="396">
        <v>0.18921992643519353</v>
      </c>
      <c r="H292" s="396">
        <v>260.73795865167767</v>
      </c>
      <c r="I292" s="396">
        <v>2.529283392929111</v>
      </c>
      <c r="J292" s="396">
        <v>3.5684579699705879E-3</v>
      </c>
      <c r="K292" s="396">
        <v>3.2468122690127679E-2</v>
      </c>
      <c r="L292" s="396">
        <v>5.877901542630274E-2</v>
      </c>
      <c r="M292" s="396">
        <v>260.01802183822747</v>
      </c>
      <c r="N292" s="396">
        <v>2.5956853599067102</v>
      </c>
      <c r="O292" s="396">
        <v>4.7657867769179112E-3</v>
      </c>
      <c r="P292" s="396">
        <v>4.2207145128803136E-2</v>
      </c>
      <c r="Q292" s="396">
        <v>0.24258313014594157</v>
      </c>
      <c r="R292" s="396">
        <v>0</v>
      </c>
      <c r="S292" s="396">
        <v>0</v>
      </c>
      <c r="T292" s="396">
        <v>0</v>
      </c>
      <c r="U292" s="396">
        <v>0</v>
      </c>
      <c r="V292" s="396">
        <v>0</v>
      </c>
      <c r="W292" s="396">
        <v>356.92282638958199</v>
      </c>
      <c r="X292" s="396">
        <v>2.5853238286851958</v>
      </c>
      <c r="Y292" s="396">
        <v>4.829483670671297E-3</v>
      </c>
      <c r="Z292" s="396">
        <v>5.6684334665875198E-2</v>
      </c>
      <c r="AA292" s="396">
        <v>0.19564358620110001</v>
      </c>
      <c r="AB292" s="396">
        <v>486.1608048355036</v>
      </c>
      <c r="AC292" s="396">
        <v>0.81996876394466767</v>
      </c>
      <c r="AD292" s="396">
        <v>2.0942760942760947E-3</v>
      </c>
      <c r="AE292" s="396">
        <v>0.37132773518315687</v>
      </c>
      <c r="AF292" s="396">
        <v>5.1025516206239095E-2</v>
      </c>
      <c r="AG292" s="396">
        <v>345.15878945860464</v>
      </c>
      <c r="AH292" s="396">
        <v>2.5816306466744945</v>
      </c>
      <c r="AI292" s="396">
        <v>5.1919911462166369E-3</v>
      </c>
      <c r="AJ292" s="396">
        <v>5.7509704892614172E-2</v>
      </c>
      <c r="AK292" s="396">
        <v>0.24642000415723334</v>
      </c>
      <c r="AL292" s="396">
        <v>0</v>
      </c>
      <c r="AM292" s="396">
        <v>0</v>
      </c>
      <c r="AN292" s="396">
        <v>0</v>
      </c>
      <c r="AO292" s="396">
        <v>0</v>
      </c>
      <c r="AP292" s="396">
        <v>0</v>
      </c>
      <c r="AQ292" s="396">
        <v>407.93659007796867</v>
      </c>
      <c r="AR292" s="396">
        <v>2.326927942224982</v>
      </c>
      <c r="AS292" s="396">
        <v>5.5685330849375558E-3</v>
      </c>
      <c r="AT292" s="396">
        <v>5.8734676510499323E-2</v>
      </c>
      <c r="AU292" s="396">
        <v>0.20472756963131628</v>
      </c>
      <c r="AV292" s="396">
        <v>499.37452274111757</v>
      </c>
      <c r="AW292" s="396">
        <v>0.73167025593946</v>
      </c>
      <c r="AX292" s="396">
        <v>2.0269924753970369E-3</v>
      </c>
      <c r="AY292" s="396">
        <v>0.38553165567005004</v>
      </c>
      <c r="AZ292" s="396">
        <v>4.9843930983003153E-2</v>
      </c>
      <c r="BA292" s="396">
        <v>337.06736274905717</v>
      </c>
      <c r="BB292" s="396">
        <v>2.3775856788071392</v>
      </c>
      <c r="BC292" s="396">
        <v>5.0603902197302666E-3</v>
      </c>
      <c r="BD292" s="396">
        <v>5.5951133767604466E-2</v>
      </c>
      <c r="BE292" s="396">
        <v>0.23838870973091186</v>
      </c>
      <c r="BF292" s="396">
        <v>0</v>
      </c>
      <c r="BG292" s="396">
        <v>0</v>
      </c>
      <c r="BH292" s="396">
        <v>0</v>
      </c>
      <c r="BI292" s="396">
        <v>0</v>
      </c>
      <c r="BJ292" s="396">
        <v>0</v>
      </c>
      <c r="BK292" s="396">
        <v>1625.4994726533073</v>
      </c>
      <c r="BL292" s="396">
        <v>42.010245592888353</v>
      </c>
      <c r="BM292" s="396">
        <v>2.4790447491336447E-2</v>
      </c>
      <c r="BN292" s="396">
        <v>0.44085279493747176</v>
      </c>
      <c r="BO292" s="396">
        <v>0.74751243031490133</v>
      </c>
      <c r="BP292" s="396">
        <v>1588.7355818367646</v>
      </c>
      <c r="BQ292" s="396">
        <v>2.1778024866066916</v>
      </c>
      <c r="BR292" s="396">
        <v>5.249741680424992E-3</v>
      </c>
      <c r="BS292" s="396">
        <v>3.7103254826645098</v>
      </c>
      <c r="BT292" s="396">
        <v>0.10921807787773621</v>
      </c>
      <c r="BU292" s="396">
        <v>2284.3123559404903</v>
      </c>
      <c r="BV292" s="396">
        <v>44.968743451840467</v>
      </c>
      <c r="BW292" s="396">
        <v>1.0134018998393517E-2</v>
      </c>
      <c r="BX292" s="396">
        <v>1.3490954808968361</v>
      </c>
      <c r="BY292" s="396">
        <v>1.2568886638262207</v>
      </c>
      <c r="BZ292" s="396">
        <v>0</v>
      </c>
      <c r="CA292" s="396">
        <v>0</v>
      </c>
      <c r="CB292" s="396">
        <v>0</v>
      </c>
      <c r="CC292" s="396">
        <v>0</v>
      </c>
      <c r="CD292" s="396">
        <v>0</v>
      </c>
      <c r="CE292" s="396">
        <v>1620.7554498124853</v>
      </c>
      <c r="CF292" s="396">
        <v>43.953366457043529</v>
      </c>
      <c r="CG292" s="396">
        <v>2.5809008771911203E-2</v>
      </c>
      <c r="CH292" s="396">
        <v>0.46592898848169317</v>
      </c>
      <c r="CI292" s="396">
        <v>0.75620114482673717</v>
      </c>
      <c r="CJ292" s="396">
        <v>1578.2760240278842</v>
      </c>
      <c r="CK292" s="396">
        <v>2.0200726769337254</v>
      </c>
      <c r="CL292" s="396">
        <v>5.0729982943168613E-3</v>
      </c>
      <c r="CM292" s="396">
        <v>3.2681383333745333</v>
      </c>
      <c r="CN292" s="396">
        <v>0.10621758584035795</v>
      </c>
      <c r="CO292" s="396">
        <v>2140.6908171861833</v>
      </c>
      <c r="CP292" s="396">
        <v>44.038826951340248</v>
      </c>
      <c r="CQ292" s="396">
        <v>9.0971842158665342E-3</v>
      </c>
      <c r="CR292" s="396">
        <v>1.1961824879011678</v>
      </c>
      <c r="CS292" s="396">
        <v>1.0852391172003273</v>
      </c>
      <c r="CT292" s="396">
        <v>0</v>
      </c>
      <c r="CU292" s="396">
        <v>0</v>
      </c>
      <c r="CV292" s="396">
        <v>0</v>
      </c>
      <c r="CW292" s="396">
        <v>0</v>
      </c>
      <c r="CX292" s="396">
        <v>0</v>
      </c>
      <c r="CY292" s="396">
        <v>1295.3780658846151</v>
      </c>
      <c r="CZ292" s="396">
        <v>22.104105026836557</v>
      </c>
      <c r="DA292" s="396">
        <v>2.3204825128731225E-2</v>
      </c>
      <c r="DB292" s="396">
        <v>0.35917745828315417</v>
      </c>
      <c r="DC292" s="396">
        <v>0.75157971423898662</v>
      </c>
      <c r="DD292" s="396">
        <v>1212.2711267605634</v>
      </c>
      <c r="DE292" s="396">
        <v>0.8615669014084506</v>
      </c>
      <c r="DF292" s="396">
        <v>1.2247623239436619E-2</v>
      </c>
      <c r="DG292" s="396">
        <v>1.6851320422535212</v>
      </c>
      <c r="DH292" s="396">
        <v>9.6960387323943659E-2</v>
      </c>
      <c r="DI292" s="396">
        <v>1922.2554192359039</v>
      </c>
      <c r="DJ292" s="396">
        <v>39.763948043141987</v>
      </c>
      <c r="DK292" s="396">
        <v>8.888246138198462E-3</v>
      </c>
      <c r="DL292" s="396">
        <v>1.0494819146907379</v>
      </c>
      <c r="DM292" s="396">
        <v>1.0860212319623672</v>
      </c>
      <c r="DN292" s="396">
        <v>0</v>
      </c>
      <c r="DO292" s="396">
        <v>0</v>
      </c>
      <c r="DP292" s="396">
        <v>0</v>
      </c>
      <c r="DQ292" s="396">
        <v>0</v>
      </c>
      <c r="DR292" s="396">
        <v>0</v>
      </c>
      <c r="DS292" s="396">
        <v>1856.1207887818541</v>
      </c>
      <c r="DT292" s="396">
        <v>70.291379795695391</v>
      </c>
      <c r="DU292" s="396">
        <v>1.2065518705657263E-2</v>
      </c>
      <c r="DV292" s="396">
        <v>0.42480163558202005</v>
      </c>
      <c r="DW292" s="396">
        <v>0.88379757525442648</v>
      </c>
      <c r="DX292" s="396">
        <v>1687.2029021766323</v>
      </c>
      <c r="DY292" s="396">
        <v>2.0724650630830266</v>
      </c>
      <c r="DZ292" s="396">
        <v>7.6078040673362166E-3</v>
      </c>
      <c r="EA292" s="396">
        <v>3.7144286786518461</v>
      </c>
      <c r="EB292" s="396">
        <v>0.10337217198613247</v>
      </c>
      <c r="EC292" s="396">
        <v>2417.927342459916</v>
      </c>
      <c r="ED292" s="396">
        <v>46.405609119480104</v>
      </c>
      <c r="EE292" s="396">
        <v>1.009807968891493E-2</v>
      </c>
      <c r="EF292" s="396">
        <v>1.5297901241144198</v>
      </c>
      <c r="EG292" s="396">
        <v>1.3031947477760613</v>
      </c>
      <c r="EH292" s="396">
        <v>0</v>
      </c>
      <c r="EI292" s="396">
        <v>0</v>
      </c>
      <c r="EJ292" s="396">
        <v>0</v>
      </c>
      <c r="EK292" s="396">
        <v>0</v>
      </c>
      <c r="EL292" s="396">
        <v>0</v>
      </c>
      <c r="EM292" s="396">
        <v>1054.3432228039558</v>
      </c>
      <c r="EN292" s="396">
        <v>7.8969633507853398</v>
      </c>
      <c r="EO292" s="396">
        <v>2.7947876672484002E-2</v>
      </c>
      <c r="EP292" s="396">
        <v>0.35634624781849911</v>
      </c>
      <c r="EQ292" s="396">
        <v>0.83231646305991858</v>
      </c>
      <c r="ER292" s="396">
        <v>864.29487193026557</v>
      </c>
      <c r="ES292" s="396">
        <v>0.98178277463655306</v>
      </c>
      <c r="ET292" s="396">
        <v>4.478839504660442E-3</v>
      </c>
      <c r="EU292" s="396">
        <v>1.0904334749172568</v>
      </c>
      <c r="EV292" s="396">
        <v>0.13539147497217252</v>
      </c>
      <c r="EW292" s="396">
        <v>2222.3367429114028</v>
      </c>
      <c r="EX292" s="396">
        <v>42.342572448525779</v>
      </c>
      <c r="EY292" s="396">
        <v>9.9116855175066399E-3</v>
      </c>
      <c r="EZ292" s="396">
        <v>1.2837151579984856</v>
      </c>
      <c r="FA292" s="396">
        <v>1.2087244732382174</v>
      </c>
      <c r="FB292" s="396">
        <v>0</v>
      </c>
      <c r="FC292" s="396">
        <v>0</v>
      </c>
      <c r="FD292" s="396">
        <v>0</v>
      </c>
      <c r="FE292" s="396">
        <v>0</v>
      </c>
      <c r="FF292" s="396">
        <v>0</v>
      </c>
      <c r="FG292" s="396">
        <v>977.8699518958839</v>
      </c>
      <c r="FH292" s="396">
        <v>5.3610609839527257</v>
      </c>
      <c r="FI292" s="396">
        <v>1.0433152516443205E-2</v>
      </c>
      <c r="FJ292" s="396">
        <v>7.9971988644627484E-2</v>
      </c>
      <c r="FK292" s="396">
        <v>0.60344216463135436</v>
      </c>
      <c r="FL292" s="396">
        <v>798.31016492516517</v>
      </c>
      <c r="FM292" s="396">
        <v>0.86880308238434945</v>
      </c>
      <c r="FN292" s="396">
        <v>3.8626715627551743E-3</v>
      </c>
      <c r="FO292" s="396">
        <v>0.83562246659201922</v>
      </c>
      <c r="FP292" s="396">
        <v>4.1028716439220209E-2</v>
      </c>
      <c r="FQ292" s="396">
        <v>1951.0761439681678</v>
      </c>
      <c r="FR292" s="396">
        <v>39.662478957107275</v>
      </c>
      <c r="FS292" s="396">
        <v>8.8076157880824183E-3</v>
      </c>
      <c r="FT292" s="396">
        <v>1.1763568318098976</v>
      </c>
      <c r="FU292" s="396">
        <v>1.0895696815392963</v>
      </c>
      <c r="FV292" s="396">
        <v>0</v>
      </c>
      <c r="FW292" s="396">
        <v>0</v>
      </c>
      <c r="FX292" s="396">
        <v>0</v>
      </c>
      <c r="FY292" s="396">
        <v>0</v>
      </c>
      <c r="FZ292" s="396">
        <v>0</v>
      </c>
      <c r="GA292" s="396">
        <v>1599.5096558295184</v>
      </c>
      <c r="GB292" s="396">
        <v>1.595930840556808</v>
      </c>
      <c r="GC292" s="396">
        <v>8.044433083126119E-3</v>
      </c>
      <c r="GD292" s="396">
        <v>2.6706908972601151</v>
      </c>
      <c r="GE292" s="396">
        <v>9.1356231553995956E-2</v>
      </c>
      <c r="GF292" s="396">
        <v>2076.1834267385716</v>
      </c>
      <c r="GG292" s="396">
        <v>43.629997767673565</v>
      </c>
      <c r="GH292" s="396">
        <v>8.465874778235993E-3</v>
      </c>
      <c r="GI292" s="396">
        <v>1.0399304454078695</v>
      </c>
      <c r="GJ292" s="396">
        <v>0.98066570324157321</v>
      </c>
      <c r="GK292" s="396">
        <v>0</v>
      </c>
      <c r="GL292" s="396">
        <v>0</v>
      </c>
      <c r="GM292" s="396">
        <v>0</v>
      </c>
      <c r="GN292" s="396">
        <v>0</v>
      </c>
      <c r="GO292" s="396">
        <v>0</v>
      </c>
      <c r="GP292" s="396">
        <v>1589.2699399537073</v>
      </c>
      <c r="GQ292" s="396">
        <v>1.7221237602173742</v>
      </c>
      <c r="GR292" s="396">
        <v>5.1926065905558471E-3</v>
      </c>
      <c r="GS292" s="396">
        <v>2.5810960405228611</v>
      </c>
      <c r="GT292" s="396">
        <v>8.3346099227337281E-2</v>
      </c>
      <c r="GU292" s="396">
        <v>1893.7699774028497</v>
      </c>
      <c r="GV292" s="396">
        <v>41.831071666920352</v>
      </c>
      <c r="GW292" s="396">
        <v>0.77716048659977288</v>
      </c>
      <c r="GX292" s="396">
        <v>0.78776826798112609</v>
      </c>
      <c r="GY292" s="396">
        <f>GY$290</f>
        <v>0.33816330118320803</v>
      </c>
      <c r="GZ292" s="396">
        <v>0</v>
      </c>
      <c r="HA292" s="396">
        <v>0</v>
      </c>
      <c r="HB292" s="396">
        <v>0</v>
      </c>
      <c r="HC292" s="396">
        <v>0</v>
      </c>
      <c r="HD292" s="487">
        <v>0</v>
      </c>
    </row>
    <row r="293" spans="1:212" x14ac:dyDescent="0.35">
      <c r="B293" s="396">
        <v>2023</v>
      </c>
      <c r="C293" s="396">
        <v>260.21540191638616</v>
      </c>
      <c r="D293" s="396">
        <v>2.4218477847657569</v>
      </c>
      <c r="E293" s="396">
        <v>4.4490859656299364E-3</v>
      </c>
      <c r="F293" s="396">
        <v>3.6563687532793793E-2</v>
      </c>
      <c r="G293" s="396">
        <v>0.18442433975164169</v>
      </c>
      <c r="H293" s="396">
        <v>255.79581750106439</v>
      </c>
      <c r="I293" s="396">
        <v>2.3343189941869906</v>
      </c>
      <c r="J293" s="396">
        <v>3.5945554064790251E-3</v>
      </c>
      <c r="K293" s="396">
        <v>2.7407321787299165E-2</v>
      </c>
      <c r="L293" s="396">
        <v>5.6896529020420888E-2</v>
      </c>
      <c r="M293" s="396">
        <v>255.11659472208626</v>
      </c>
      <c r="N293" s="396">
        <v>2.4117362378176317</v>
      </c>
      <c r="O293" s="396">
        <v>4.8164578790441011E-3</v>
      </c>
      <c r="P293" s="396">
        <v>3.7327555515998402E-2</v>
      </c>
      <c r="Q293" s="396">
        <v>0.23632264919229232</v>
      </c>
      <c r="R293" s="396">
        <v>0</v>
      </c>
      <c r="S293" s="396">
        <v>0</v>
      </c>
      <c r="T293" s="396">
        <v>0</v>
      </c>
      <c r="U293" s="396">
        <v>0</v>
      </c>
      <c r="V293" s="396">
        <v>0</v>
      </c>
      <c r="W293" s="396">
        <v>347.49647017702006</v>
      </c>
      <c r="X293" s="396">
        <v>2.3659656077964244</v>
      </c>
      <c r="Y293" s="396">
        <v>4.8717076064810766E-3</v>
      </c>
      <c r="Z293" s="396">
        <v>4.8858268984008864E-2</v>
      </c>
      <c r="AA293" s="396">
        <v>0.18881632502885948</v>
      </c>
      <c r="AB293" s="396">
        <v>474.947917211922</v>
      </c>
      <c r="AC293" s="396">
        <v>0.80236283120989105</v>
      </c>
      <c r="AD293" s="396">
        <v>2.1002536963948592E-3</v>
      </c>
      <c r="AE293" s="396">
        <v>0.37302443092792859</v>
      </c>
      <c r="AF293" s="396">
        <v>5.1032408231348782E-2</v>
      </c>
      <c r="AG293" s="396">
        <v>335.99618140303915</v>
      </c>
      <c r="AH293" s="396">
        <v>2.3601980159042597</v>
      </c>
      <c r="AI293" s="396">
        <v>5.2394988583576102E-3</v>
      </c>
      <c r="AJ293" s="396">
        <v>4.9468545783796551E-2</v>
      </c>
      <c r="AK293" s="396">
        <v>0.23845022045508227</v>
      </c>
      <c r="AL293" s="396">
        <v>0</v>
      </c>
      <c r="AM293" s="396">
        <v>0</v>
      </c>
      <c r="AN293" s="396">
        <v>0</v>
      </c>
      <c r="AO293" s="396">
        <v>0</v>
      </c>
      <c r="AP293" s="396">
        <v>0</v>
      </c>
      <c r="AQ293" s="396">
        <v>397.42089510405509</v>
      </c>
      <c r="AR293" s="396">
        <v>2.1549965465119771</v>
      </c>
      <c r="AS293" s="396">
        <v>5.6105666723390629E-3</v>
      </c>
      <c r="AT293" s="396">
        <v>5.233285618474659E-2</v>
      </c>
      <c r="AU293" s="396">
        <v>0.19887286159020612</v>
      </c>
      <c r="AV293" s="396">
        <v>487.91312004696215</v>
      </c>
      <c r="AW293" s="396">
        <v>0.72586806574699148</v>
      </c>
      <c r="AX293" s="396">
        <v>2.0318241855004403E-3</v>
      </c>
      <c r="AY293" s="396">
        <v>0.38772527149985325</v>
      </c>
      <c r="AZ293" s="396">
        <v>4.9992882301144709E-2</v>
      </c>
      <c r="BA293" s="396">
        <v>328.12497345418399</v>
      </c>
      <c r="BB293" s="396">
        <v>2.1754317411506867</v>
      </c>
      <c r="BC293" s="396">
        <v>5.1076188615455185E-3</v>
      </c>
      <c r="BD293" s="396">
        <v>4.8255621341986563E-2</v>
      </c>
      <c r="BE293" s="396">
        <v>0.23076256572744031</v>
      </c>
      <c r="BF293" s="396">
        <v>0</v>
      </c>
      <c r="BG293" s="396">
        <v>0</v>
      </c>
      <c r="BH293" s="396">
        <v>0</v>
      </c>
      <c r="BI293" s="396">
        <v>0</v>
      </c>
      <c r="BJ293" s="396">
        <v>0</v>
      </c>
      <c r="BK293" s="396">
        <v>1625.5050478410853</v>
      </c>
      <c r="BL293" s="396">
        <v>42.010486006350682</v>
      </c>
      <c r="BM293" s="396">
        <v>2.47905699787959E-2</v>
      </c>
      <c r="BN293" s="396">
        <v>0.44085533741942967</v>
      </c>
      <c r="BO293" s="396">
        <v>0.74462513054761437</v>
      </c>
      <c r="BP293" s="396">
        <v>1588.6992431007943</v>
      </c>
      <c r="BQ293" s="396">
        <v>2.1771467292259787</v>
      </c>
      <c r="BR293" s="396">
        <v>5.2561846418224699E-3</v>
      </c>
      <c r="BS293" s="396">
        <v>3.7094448946566145</v>
      </c>
      <c r="BT293" s="396">
        <v>0.10921154975832582</v>
      </c>
      <c r="BU293" s="396">
        <v>2284.3263431498726</v>
      </c>
      <c r="BV293" s="396">
        <v>44.969086733792615</v>
      </c>
      <c r="BW293" s="396">
        <v>1.0134083663495427E-2</v>
      </c>
      <c r="BX293" s="396">
        <v>1.3490969961558197</v>
      </c>
      <c r="BY293" s="396">
        <v>1.2568955510131981</v>
      </c>
      <c r="BZ293" s="396">
        <v>0</v>
      </c>
      <c r="CA293" s="396">
        <v>0</v>
      </c>
      <c r="CB293" s="396">
        <v>0</v>
      </c>
      <c r="CC293" s="396">
        <v>0</v>
      </c>
      <c r="CD293" s="396">
        <v>0</v>
      </c>
      <c r="CE293" s="396">
        <v>1620.7616934738398</v>
      </c>
      <c r="CF293" s="396">
        <v>43.953503420225552</v>
      </c>
      <c r="CG293" s="396">
        <v>2.5809114438898134E-2</v>
      </c>
      <c r="CH293" s="396">
        <v>0.46592993159548896</v>
      </c>
      <c r="CI293" s="396">
        <v>0.75294878905527818</v>
      </c>
      <c r="CJ293" s="396">
        <v>1578.2514212963979</v>
      </c>
      <c r="CK293" s="396">
        <v>2.0194701143622273</v>
      </c>
      <c r="CL293" s="396">
        <v>5.0797462519481086E-3</v>
      </c>
      <c r="CM293" s="396">
        <v>3.2673924973110609</v>
      </c>
      <c r="CN293" s="396">
        <v>0.10621243716662641</v>
      </c>
      <c r="CO293" s="396">
        <v>2140.6913835040905</v>
      </c>
      <c r="CP293" s="396">
        <v>44.038917962703621</v>
      </c>
      <c r="CQ293" s="396">
        <v>9.0971917151912735E-3</v>
      </c>
      <c r="CR293" s="396">
        <v>1.1961848603228422</v>
      </c>
      <c r="CS293" s="396">
        <v>1.0852391833124493</v>
      </c>
      <c r="CT293" s="396">
        <v>0</v>
      </c>
      <c r="CU293" s="396">
        <v>0</v>
      </c>
      <c r="CV293" s="396">
        <v>0</v>
      </c>
      <c r="CW293" s="396">
        <v>0</v>
      </c>
      <c r="CX293" s="396">
        <v>0</v>
      </c>
      <c r="CY293" s="396">
        <v>1295.1514047103688</v>
      </c>
      <c r="CZ293" s="396">
        <v>22.086687141377734</v>
      </c>
      <c r="DA293" s="396">
        <v>2.3217500100003115E-2</v>
      </c>
      <c r="DB293" s="396">
        <v>0.35910895005622401</v>
      </c>
      <c r="DC293" s="396">
        <v>0.74559541852413191</v>
      </c>
      <c r="DD293" s="396">
        <v>1212.1857976289291</v>
      </c>
      <c r="DE293" s="396">
        <v>0.8603402622649583</v>
      </c>
      <c r="DF293" s="396">
        <v>1.2256874547759547E-2</v>
      </c>
      <c r="DG293" s="396">
        <v>1.6837836185939585</v>
      </c>
      <c r="DH293" s="396">
        <v>9.6949903094852699E-2</v>
      </c>
      <c r="DI293" s="396">
        <v>1922.2549584747755</v>
      </c>
      <c r="DJ293" s="396">
        <v>39.763871987019371</v>
      </c>
      <c r="DK293" s="396">
        <v>8.8882341638378271E-3</v>
      </c>
      <c r="DL293" s="396">
        <v>1.0494822690492966</v>
      </c>
      <c r="DM293" s="396">
        <v>1.08602019684451</v>
      </c>
      <c r="DN293" s="396">
        <v>0</v>
      </c>
      <c r="DO293" s="396">
        <v>0</v>
      </c>
      <c r="DP293" s="396">
        <v>0</v>
      </c>
      <c r="DQ293" s="396">
        <v>0</v>
      </c>
      <c r="DR293" s="396">
        <v>0</v>
      </c>
      <c r="DS293" s="396">
        <v>1856.1209147103639</v>
      </c>
      <c r="DT293" s="396">
        <v>70.291336981922768</v>
      </c>
      <c r="DU293" s="396">
        <v>1.2065505532262641E-2</v>
      </c>
      <c r="DV293" s="396">
        <v>0.42480067953133271</v>
      </c>
      <c r="DW293" s="396">
        <v>0.8724781758931428</v>
      </c>
      <c r="DX293" s="396">
        <v>1687.0037832365322</v>
      </c>
      <c r="DY293" s="396">
        <v>2.0689660422169616</v>
      </c>
      <c r="DZ293" s="396">
        <v>7.644878167604229E-3</v>
      </c>
      <c r="EA293" s="396">
        <v>3.7094063287381345</v>
      </c>
      <c r="EB293" s="396">
        <v>0.10332650777580708</v>
      </c>
      <c r="EC293" s="396">
        <v>2417.9220538772488</v>
      </c>
      <c r="ED293" s="396">
        <v>46.405467954454288</v>
      </c>
      <c r="EE293" s="396">
        <v>1.0098065232820069E-2</v>
      </c>
      <c r="EF293" s="396">
        <v>1.5297867744623077</v>
      </c>
      <c r="EG293" s="396">
        <v>1.303187582929614</v>
      </c>
      <c r="EH293" s="396">
        <v>0</v>
      </c>
      <c r="EI293" s="396">
        <v>0</v>
      </c>
      <c r="EJ293" s="396">
        <v>0</v>
      </c>
      <c r="EK293" s="396">
        <v>0</v>
      </c>
      <c r="EL293" s="396">
        <v>0</v>
      </c>
      <c r="EM293" s="396">
        <v>1041.5281458283146</v>
      </c>
      <c r="EN293" s="396">
        <v>7.8838030996547026</v>
      </c>
      <c r="EO293" s="396">
        <v>2.7941138681442219E-2</v>
      </c>
      <c r="EP293" s="396">
        <v>0.35608126555849995</v>
      </c>
      <c r="EQ293" s="396">
        <v>0.80413554966674705</v>
      </c>
      <c r="ER293" s="396">
        <v>854.48529904711518</v>
      </c>
      <c r="ES293" s="396">
        <v>0.97845273535385735</v>
      </c>
      <c r="ET293" s="396">
        <v>4.4614361581654747E-3</v>
      </c>
      <c r="EU293" s="396">
        <v>1.0817480608005392</v>
      </c>
      <c r="EV293" s="396">
        <v>0.13509276086558689</v>
      </c>
      <c r="EW293" s="396">
        <v>2222.3426313858331</v>
      </c>
      <c r="EX293" s="396">
        <v>42.342688272052655</v>
      </c>
      <c r="EY293" s="396">
        <v>9.9117125880669767E-3</v>
      </c>
      <c r="EZ293" s="396">
        <v>1.2837171730962316</v>
      </c>
      <c r="FA293" s="396">
        <v>1.2087297591721917</v>
      </c>
      <c r="FB293" s="396">
        <v>0</v>
      </c>
      <c r="FC293" s="396">
        <v>0</v>
      </c>
      <c r="FD293" s="396">
        <v>0</v>
      </c>
      <c r="FE293" s="396">
        <v>0</v>
      </c>
      <c r="FF293" s="396">
        <v>0</v>
      </c>
      <c r="FG293" s="396">
        <v>965.68867631046828</v>
      </c>
      <c r="FH293" s="396">
        <v>5.3497239072950684</v>
      </c>
      <c r="FI293" s="396">
        <v>1.0435623736195365E-2</v>
      </c>
      <c r="FJ293" s="396">
        <v>7.9883049463369118E-2</v>
      </c>
      <c r="FK293" s="396">
        <v>0.5923977290402862</v>
      </c>
      <c r="FL293" s="396">
        <v>789.12964319714308</v>
      </c>
      <c r="FM293" s="396">
        <v>0.86612325119219458</v>
      </c>
      <c r="FN293" s="396">
        <v>3.8486187215112685E-3</v>
      </c>
      <c r="FO293" s="396">
        <v>0.82830644772112083</v>
      </c>
      <c r="FP293" s="396">
        <v>4.073554121461255E-2</v>
      </c>
      <c r="FQ293" s="396">
        <v>1951.0760648737989</v>
      </c>
      <c r="FR293" s="396">
        <v>39.662546055576598</v>
      </c>
      <c r="FS293" s="396">
        <v>8.8076168176026998E-3</v>
      </c>
      <c r="FT293" s="396">
        <v>1.1763644502599773</v>
      </c>
      <c r="FU293" s="396">
        <v>1.08956991839124</v>
      </c>
      <c r="FV293" s="396">
        <v>0</v>
      </c>
      <c r="FW293" s="396">
        <v>0</v>
      </c>
      <c r="FX293" s="396">
        <v>0</v>
      </c>
      <c r="FY293" s="396">
        <v>0</v>
      </c>
      <c r="FZ293" s="396">
        <v>0</v>
      </c>
      <c r="GA293" s="396">
        <v>1599.2239656853719</v>
      </c>
      <c r="GB293" s="396">
        <v>1.5920023458330776</v>
      </c>
      <c r="GC293" s="396">
        <v>8.0890325484339522E-3</v>
      </c>
      <c r="GD293" s="396">
        <v>2.6652857620206896</v>
      </c>
      <c r="GE293" s="396">
        <v>9.1291094699371952E-2</v>
      </c>
      <c r="GF293" s="396">
        <v>2076.1749188357858</v>
      </c>
      <c r="GG293" s="396">
        <v>43.629832029321499</v>
      </c>
      <c r="GH293" s="396">
        <v>8.4658314013937273E-3</v>
      </c>
      <c r="GI293" s="396">
        <v>1.0399280158164994</v>
      </c>
      <c r="GJ293" s="396">
        <v>0.98066164476123974</v>
      </c>
      <c r="GK293" s="396">
        <v>0</v>
      </c>
      <c r="GL293" s="396">
        <v>0</v>
      </c>
      <c r="GM293" s="396">
        <v>0</v>
      </c>
      <c r="GN293" s="396">
        <v>0</v>
      </c>
      <c r="GO293" s="396">
        <v>0</v>
      </c>
      <c r="GP293" s="396">
        <v>1589.2463918878848</v>
      </c>
      <c r="GQ293" s="396">
        <v>1.7215397852389449</v>
      </c>
      <c r="GR293" s="396">
        <v>5.2008220030430154E-3</v>
      </c>
      <c r="GS293" s="396">
        <v>2.5803288012172061</v>
      </c>
      <c r="GT293" s="396">
        <v>8.3336574031314864E-2</v>
      </c>
      <c r="GU293" s="396">
        <v>1893.7671306608811</v>
      </c>
      <c r="GV293" s="396">
        <v>41.830969198623194</v>
      </c>
      <c r="GW293" s="396">
        <v>0.77715856677955997</v>
      </c>
      <c r="GX293" s="396">
        <v>0.78776612041767757</v>
      </c>
      <c r="GY293" s="396">
        <f>GY$290</f>
        <v>0.33816330118320803</v>
      </c>
      <c r="GZ293" s="396">
        <v>0</v>
      </c>
      <c r="HA293" s="396">
        <v>0</v>
      </c>
      <c r="HB293" s="396">
        <v>0</v>
      </c>
      <c r="HC293" s="396">
        <v>0</v>
      </c>
      <c r="HD293" s="487">
        <v>0</v>
      </c>
    </row>
    <row r="294" spans="1:212" x14ac:dyDescent="0.35">
      <c r="B294" s="396">
        <v>2024</v>
      </c>
      <c r="C294" s="396">
        <v>251.57230405594743</v>
      </c>
      <c r="D294" s="396">
        <v>2.2633259012878151</v>
      </c>
      <c r="E294" s="396">
        <v>4.5035149920196887E-3</v>
      </c>
      <c r="F294" s="396">
        <v>3.2681140879905451E-2</v>
      </c>
      <c r="G294" s="396">
        <v>0.17951801357262082</v>
      </c>
      <c r="H294" s="396">
        <v>247.24066001086885</v>
      </c>
      <c r="I294" s="396">
        <v>2.1662153792119834</v>
      </c>
      <c r="J294" s="396">
        <v>3.6225014060709041E-3</v>
      </c>
      <c r="K294" s="396">
        <v>2.3296755713868727E-2</v>
      </c>
      <c r="L294" s="396">
        <v>5.5514171058907845E-2</v>
      </c>
      <c r="M294" s="396">
        <v>246.63543722788361</v>
      </c>
      <c r="N294" s="396">
        <v>2.2536030335370172</v>
      </c>
      <c r="O294" s="396">
        <v>4.8830076593976372E-3</v>
      </c>
      <c r="P294" s="396">
        <v>3.3391101498824176E-2</v>
      </c>
      <c r="Q294" s="396">
        <v>0.23072188169961186</v>
      </c>
      <c r="R294" s="396">
        <v>0</v>
      </c>
      <c r="S294" s="396">
        <v>0</v>
      </c>
      <c r="T294" s="396">
        <v>0</v>
      </c>
      <c r="U294" s="396">
        <v>0</v>
      </c>
      <c r="V294" s="396">
        <v>0</v>
      </c>
      <c r="W294" s="396">
        <v>336.46747003295178</v>
      </c>
      <c r="X294" s="396">
        <v>2.1482393861729729</v>
      </c>
      <c r="Y294" s="396">
        <v>4.9178990432830836E-3</v>
      </c>
      <c r="Z294" s="396">
        <v>4.1341393527435967E-2</v>
      </c>
      <c r="AA294" s="396">
        <v>0.18256697814355527</v>
      </c>
      <c r="AB294" s="396">
        <v>463.83503447282675</v>
      </c>
      <c r="AC294" s="396">
        <v>0.78519438593964697</v>
      </c>
      <c r="AD294" s="396">
        <v>2.1071327848883612E-3</v>
      </c>
      <c r="AE294" s="396">
        <v>0.37487323960564761</v>
      </c>
      <c r="AF294" s="396">
        <v>5.11144413841935E-2</v>
      </c>
      <c r="AG294" s="396">
        <v>325.26299215279073</v>
      </c>
      <c r="AH294" s="396">
        <v>2.140402914191363</v>
      </c>
      <c r="AI294" s="396">
        <v>5.2932490169710789E-3</v>
      </c>
      <c r="AJ294" s="396">
        <v>4.1747706265851871E-2</v>
      </c>
      <c r="AK294" s="396">
        <v>0.23090242906020736</v>
      </c>
      <c r="AL294" s="396">
        <v>0</v>
      </c>
      <c r="AM294" s="396">
        <v>0</v>
      </c>
      <c r="AN294" s="396">
        <v>0</v>
      </c>
      <c r="AO294" s="396">
        <v>0</v>
      </c>
      <c r="AP294" s="396">
        <v>0</v>
      </c>
      <c r="AQ294" s="396">
        <v>385.42481688927188</v>
      </c>
      <c r="AR294" s="396">
        <v>1.9845756139595001</v>
      </c>
      <c r="AS294" s="396">
        <v>5.6545885394226631E-3</v>
      </c>
      <c r="AT294" s="396">
        <v>4.6186988367083154E-2</v>
      </c>
      <c r="AU294" s="396">
        <v>0.19339336492890993</v>
      </c>
      <c r="AV294" s="396">
        <v>476.66654117410837</v>
      </c>
      <c r="AW294" s="396">
        <v>0.72020179203373236</v>
      </c>
      <c r="AX294" s="396">
        <v>2.0373277614637452E-3</v>
      </c>
      <c r="AY294" s="396">
        <v>0.39012310819968371</v>
      </c>
      <c r="AZ294" s="396">
        <v>5.020455287001481E-2</v>
      </c>
      <c r="BA294" s="396">
        <v>317.64781511659675</v>
      </c>
      <c r="BB294" s="396">
        <v>1.9747447962095281</v>
      </c>
      <c r="BC294" s="396">
        <v>5.1618737882659577E-3</v>
      </c>
      <c r="BD294" s="396">
        <v>4.0872200136459327E-2</v>
      </c>
      <c r="BE294" s="396">
        <v>0.22354201091966869</v>
      </c>
      <c r="BF294" s="396">
        <v>0</v>
      </c>
      <c r="BG294" s="396">
        <v>0</v>
      </c>
      <c r="BH294" s="396">
        <v>0</v>
      </c>
      <c r="BI294" s="396">
        <v>0</v>
      </c>
      <c r="BJ294" s="396">
        <v>0</v>
      </c>
      <c r="BK294" s="396">
        <v>1565.7681871882537</v>
      </c>
      <c r="BL294" s="396">
        <v>41.366728638772265</v>
      </c>
      <c r="BM294" s="396">
        <v>2.4772594867224183E-2</v>
      </c>
      <c r="BN294" s="396">
        <v>0.4374557549339777</v>
      </c>
      <c r="BO294" s="396">
        <v>0.73371259333532957</v>
      </c>
      <c r="BP294" s="396">
        <v>1508.546528810313</v>
      </c>
      <c r="BQ294" s="396">
        <v>2.1718332252750905</v>
      </c>
      <c r="BR294" s="396">
        <v>5.2375639471881567E-3</v>
      </c>
      <c r="BS294" s="396">
        <v>3.6984441903993881</v>
      </c>
      <c r="BT294" s="396">
        <v>0.10669506727484747</v>
      </c>
      <c r="BU294" s="396">
        <v>2209.4886787269943</v>
      </c>
      <c r="BV294" s="396">
        <v>44.900835851351879</v>
      </c>
      <c r="BW294" s="396">
        <v>1.0117411607738491E-2</v>
      </c>
      <c r="BX294" s="396">
        <v>1.3487815406349331</v>
      </c>
      <c r="BY294" s="396">
        <v>1.2583133853941844</v>
      </c>
      <c r="BZ294" s="396">
        <v>0</v>
      </c>
      <c r="CA294" s="396">
        <v>0</v>
      </c>
      <c r="CB294" s="396">
        <v>0</v>
      </c>
      <c r="CC294" s="396">
        <v>0</v>
      </c>
      <c r="CD294" s="396">
        <v>0</v>
      </c>
      <c r="CE294" s="396">
        <v>1570.6416518829944</v>
      </c>
      <c r="CF294" s="396">
        <v>43.953194488322922</v>
      </c>
      <c r="CG294" s="396">
        <v>2.5808970651372654E-2</v>
      </c>
      <c r="CH294" s="396">
        <v>0.46592707801728672</v>
      </c>
      <c r="CI294" s="396">
        <v>0.7455944656411253</v>
      </c>
      <c r="CJ294" s="396">
        <v>1501.6131418085579</v>
      </c>
      <c r="CK294" s="396">
        <v>2.0194296634190612</v>
      </c>
      <c r="CL294" s="396">
        <v>5.0802972818460579E-3</v>
      </c>
      <c r="CM294" s="396">
        <v>3.2673417741761379</v>
      </c>
      <c r="CN294" s="396">
        <v>0.10386914161665994</v>
      </c>
      <c r="CO294" s="396">
        <v>2068.0208941078508</v>
      </c>
      <c r="CP294" s="396">
        <v>44.038413603630993</v>
      </c>
      <c r="CQ294" s="396">
        <v>9.0971269232138791E-3</v>
      </c>
      <c r="CR294" s="396">
        <v>1.1961794570490223</v>
      </c>
      <c r="CS294" s="396">
        <v>1.0852336069727373</v>
      </c>
      <c r="CT294" s="396">
        <v>0</v>
      </c>
      <c r="CU294" s="396">
        <v>0</v>
      </c>
      <c r="CV294" s="396">
        <v>0</v>
      </c>
      <c r="CW294" s="396">
        <v>0</v>
      </c>
      <c r="CX294" s="396">
        <v>0</v>
      </c>
      <c r="CY294" s="396">
        <v>1246.655422587733</v>
      </c>
      <c r="CZ294" s="396">
        <v>21.585013076769989</v>
      </c>
      <c r="DA294" s="396">
        <v>2.3220363174368326E-2</v>
      </c>
      <c r="DB294" s="396">
        <v>0.35632238208291539</v>
      </c>
      <c r="DC294" s="396">
        <v>0.73338767748121902</v>
      </c>
      <c r="DD294" s="396">
        <v>1148.9634355739513</v>
      </c>
      <c r="DE294" s="396">
        <v>0.85792650966074435</v>
      </c>
      <c r="DF294" s="396">
        <v>1.2171164169392882E-2</v>
      </c>
      <c r="DG294" s="396">
        <v>1.6765864767654131</v>
      </c>
      <c r="DH294" s="396">
        <v>9.4955988938492955E-2</v>
      </c>
      <c r="DI294" s="396">
        <v>1858.7169108580854</v>
      </c>
      <c r="DJ294" s="396">
        <v>39.60088946334578</v>
      </c>
      <c r="DK294" s="396">
        <v>8.8715040093878365E-3</v>
      </c>
      <c r="DL294" s="396">
        <v>1.0487227782549173</v>
      </c>
      <c r="DM294" s="396">
        <v>1.0874114575804217</v>
      </c>
      <c r="DN294" s="396">
        <v>0</v>
      </c>
      <c r="DO294" s="396">
        <v>0</v>
      </c>
      <c r="DP294" s="396">
        <v>0</v>
      </c>
      <c r="DQ294" s="396">
        <v>0</v>
      </c>
      <c r="DR294" s="396">
        <v>0</v>
      </c>
      <c r="DS294" s="396">
        <v>1798.677968466583</v>
      </c>
      <c r="DT294" s="396">
        <v>70.291352727780108</v>
      </c>
      <c r="DU294" s="396">
        <v>1.2065543463094739E-2</v>
      </c>
      <c r="DV294" s="396">
        <v>0.42480117203850981</v>
      </c>
      <c r="DW294" s="396">
        <v>0.85774818613087767</v>
      </c>
      <c r="DX294" s="396">
        <v>1607.739074267678</v>
      </c>
      <c r="DY294" s="396">
        <v>2.0658174239044302</v>
      </c>
      <c r="DZ294" s="396">
        <v>7.6783443095629709E-3</v>
      </c>
      <c r="EA294" s="396">
        <v>3.7048870302917307</v>
      </c>
      <c r="EB294" s="396">
        <v>0.10093691941960271</v>
      </c>
      <c r="EC294" s="396">
        <v>2340.4651472079531</v>
      </c>
      <c r="ED294" s="396">
        <v>46.405499310092594</v>
      </c>
      <c r="EE294" s="396">
        <v>1.0098027806870257E-2</v>
      </c>
      <c r="EF294" s="396">
        <v>1.5297879296682348</v>
      </c>
      <c r="EG294" s="396">
        <v>1.3031879817576288</v>
      </c>
      <c r="EH294" s="396">
        <v>0</v>
      </c>
      <c r="EI294" s="396">
        <v>0</v>
      </c>
      <c r="EJ294" s="396">
        <v>0</v>
      </c>
      <c r="EK294" s="396">
        <v>0</v>
      </c>
      <c r="EL294" s="396">
        <v>0</v>
      </c>
      <c r="EM294" s="396">
        <v>1011.3153079751498</v>
      </c>
      <c r="EN294" s="396">
        <v>7.7910917410894589</v>
      </c>
      <c r="EO294" s="396">
        <v>2.7869055688031833E-2</v>
      </c>
      <c r="EP294" s="396">
        <v>0.35382286731730272</v>
      </c>
      <c r="EQ294" s="396">
        <v>0.77637692407646097</v>
      </c>
      <c r="ER294" s="396">
        <v>816.19099985897174</v>
      </c>
      <c r="ES294" s="396">
        <v>0.97200508969558475</v>
      </c>
      <c r="ET294" s="396">
        <v>4.38794509086818E-3</v>
      </c>
      <c r="EU294" s="396">
        <v>1.0599924890544608</v>
      </c>
      <c r="EV294" s="396">
        <v>0.1340450244739565</v>
      </c>
      <c r="EW294" s="396">
        <v>2156.6438977533485</v>
      </c>
      <c r="EX294" s="396">
        <v>42.342440898660548</v>
      </c>
      <c r="EY294" s="396">
        <v>9.9116815198249646E-3</v>
      </c>
      <c r="EZ294" s="396">
        <v>1.2837131116921927</v>
      </c>
      <c r="FA294" s="396">
        <v>1.2087251187363253</v>
      </c>
      <c r="FB294" s="396">
        <v>0</v>
      </c>
      <c r="FC294" s="396">
        <v>0</v>
      </c>
      <c r="FD294" s="396">
        <v>0</v>
      </c>
      <c r="FE294" s="396">
        <v>0</v>
      </c>
      <c r="FF294" s="396">
        <v>0</v>
      </c>
      <c r="FG294" s="396">
        <v>935.15213251251157</v>
      </c>
      <c r="FH294" s="396">
        <v>5.225049825058683</v>
      </c>
      <c r="FI294" s="396">
        <v>1.0420036316931662E-2</v>
      </c>
      <c r="FJ294" s="396">
        <v>7.8833517870587719E-2</v>
      </c>
      <c r="FK294" s="396">
        <v>0.57929934895256663</v>
      </c>
      <c r="FL294" s="396">
        <v>750.81832242902874</v>
      </c>
      <c r="FM294" s="396">
        <v>0.85929250580519334</v>
      </c>
      <c r="FN294" s="396">
        <v>3.7737992941844155E-3</v>
      </c>
      <c r="FO294" s="396">
        <v>0.8077152118046258</v>
      </c>
      <c r="FP294" s="396">
        <v>3.9618156166693973E-2</v>
      </c>
      <c r="FQ294" s="396">
        <v>1887.1196775040212</v>
      </c>
      <c r="FR294" s="396">
        <v>39.608590022275912</v>
      </c>
      <c r="FS294" s="396">
        <v>8.8012732938064896E-3</v>
      </c>
      <c r="FT294" s="396">
        <v>1.1762152485682174</v>
      </c>
      <c r="FU294" s="396">
        <v>1.0889488596213766</v>
      </c>
      <c r="FV294" s="396">
        <v>0</v>
      </c>
      <c r="FW294" s="396">
        <v>0</v>
      </c>
      <c r="FX294" s="396">
        <v>0</v>
      </c>
      <c r="FY294" s="396">
        <v>0</v>
      </c>
      <c r="FZ294" s="396">
        <v>0</v>
      </c>
      <c r="GA294" s="396">
        <v>1511.3894154572858</v>
      </c>
      <c r="GB294" s="396">
        <v>1.5807607445849776</v>
      </c>
      <c r="GC294" s="396">
        <v>8.0113428012057557E-3</v>
      </c>
      <c r="GD294" s="396">
        <v>2.641623418999969</v>
      </c>
      <c r="GE294" s="396">
        <v>8.8443394760558125E-2</v>
      </c>
      <c r="GF294" s="396">
        <v>1997.650964260632</v>
      </c>
      <c r="GG294" s="396">
        <v>43.485297260985071</v>
      </c>
      <c r="GH294" s="396">
        <v>8.4566813381433681E-3</v>
      </c>
      <c r="GI294" s="396">
        <v>1.0401255436371013</v>
      </c>
      <c r="GJ294" s="396">
        <v>0.98009317623657011</v>
      </c>
      <c r="GK294" s="396">
        <v>0</v>
      </c>
      <c r="GL294" s="396">
        <v>0</v>
      </c>
      <c r="GM294" s="396">
        <v>0</v>
      </c>
      <c r="GN294" s="396">
        <v>0</v>
      </c>
      <c r="GO294" s="396">
        <v>0</v>
      </c>
      <c r="GP294" s="396">
        <v>1497.209468321061</v>
      </c>
      <c r="GQ294" s="396">
        <v>1.6971337112429197</v>
      </c>
      <c r="GR294" s="396">
        <v>4.7668061385128403E-3</v>
      </c>
      <c r="GS294" s="396">
        <v>2.5315891689273369</v>
      </c>
      <c r="GT294" s="396">
        <v>7.8889720903041888E-2</v>
      </c>
      <c r="GU294" s="396">
        <v>1816.6123314633887</v>
      </c>
      <c r="GV294" s="396">
        <v>41.642465885799439</v>
      </c>
      <c r="GW294" s="396">
        <v>0.77763339250021601</v>
      </c>
      <c r="GX294" s="396">
        <v>0.78764514111047246</v>
      </c>
      <c r="GY294" s="396">
        <f>GY$290</f>
        <v>0.33816330118320803</v>
      </c>
      <c r="GZ294" s="396">
        <v>0</v>
      </c>
      <c r="HA294" s="396">
        <v>0</v>
      </c>
      <c r="HB294" s="396">
        <v>0</v>
      </c>
      <c r="HC294" s="396">
        <v>0</v>
      </c>
      <c r="HD294" s="487">
        <v>0</v>
      </c>
    </row>
    <row r="295" spans="1:212" x14ac:dyDescent="0.35">
      <c r="B295" s="397">
        <v>2025</v>
      </c>
      <c r="C295" s="396">
        <v>256.00761333619562</v>
      </c>
      <c r="D295" s="396">
        <v>2.0494132151995803</v>
      </c>
      <c r="E295" s="396">
        <v>4.5539046473264356E-3</v>
      </c>
      <c r="F295" s="396">
        <v>2.8465749744863694E-2</v>
      </c>
      <c r="G295" s="396">
        <v>0.17541324045491749</v>
      </c>
      <c r="H295" s="396">
        <v>251.64652193376551</v>
      </c>
      <c r="I295" s="396">
        <v>1.940721989803641</v>
      </c>
      <c r="J295" s="396">
        <v>3.6512261287867322E-3</v>
      </c>
      <c r="K295" s="396">
        <v>1.8906848994480998E-2</v>
      </c>
      <c r="L295" s="396">
        <v>5.5068711091358219E-2</v>
      </c>
      <c r="M295" s="396">
        <v>250.9664790800098</v>
      </c>
      <c r="N295" s="396">
        <v>2.0402540205084856</v>
      </c>
      <c r="O295" s="396">
        <v>4.9427230464666235E-3</v>
      </c>
      <c r="P295" s="396">
        <v>2.9124051871788601E-2</v>
      </c>
      <c r="Q295" s="396">
        <v>0.22652757078986585</v>
      </c>
      <c r="R295" s="396">
        <v>0</v>
      </c>
      <c r="S295" s="396">
        <v>0</v>
      </c>
      <c r="T295" s="396">
        <v>0</v>
      </c>
      <c r="U295" s="396">
        <v>0</v>
      </c>
      <c r="V295" s="396">
        <v>0</v>
      </c>
      <c r="W295" s="396">
        <v>341.09303709581434</v>
      </c>
      <c r="X295" s="396">
        <v>1.9493003524941632</v>
      </c>
      <c r="Y295" s="396">
        <v>4.9671539529702585E-3</v>
      </c>
      <c r="Z295" s="396">
        <v>3.6196076785741535E-2</v>
      </c>
      <c r="AA295" s="396">
        <v>0.17816100285352418</v>
      </c>
      <c r="AB295" s="396">
        <v>464.1720606069461</v>
      </c>
      <c r="AC295" s="396">
        <v>0.77120293391388206</v>
      </c>
      <c r="AD295" s="396">
        <v>2.1174442220306539E-3</v>
      </c>
      <c r="AE295" s="396">
        <v>0.37651407781885127</v>
      </c>
      <c r="AF295" s="396">
        <v>5.1573033707865167E-2</v>
      </c>
      <c r="AG295" s="396">
        <v>329.93209793268664</v>
      </c>
      <c r="AH295" s="396">
        <v>1.9395953674519761</v>
      </c>
      <c r="AI295" s="396">
        <v>5.3501596373105717E-3</v>
      </c>
      <c r="AJ295" s="396">
        <v>3.6483523222016465E-2</v>
      </c>
      <c r="AK295" s="396">
        <v>0.22636202716900297</v>
      </c>
      <c r="AL295" s="396">
        <v>0</v>
      </c>
      <c r="AM295" s="396">
        <v>0</v>
      </c>
      <c r="AN295" s="396">
        <v>0</v>
      </c>
      <c r="AO295" s="396">
        <v>0</v>
      </c>
      <c r="AP295" s="396">
        <v>0</v>
      </c>
      <c r="AQ295" s="396">
        <v>388.29731111001206</v>
      </c>
      <c r="AR295" s="396">
        <v>1.8285812024992993</v>
      </c>
      <c r="AS295" s="396">
        <v>5.6868951646141417E-3</v>
      </c>
      <c r="AT295" s="396">
        <v>4.1948579718746395E-2</v>
      </c>
      <c r="AU295" s="396">
        <v>0.18961620258173004</v>
      </c>
      <c r="AV295" s="396">
        <v>476.91394839337875</v>
      </c>
      <c r="AW295" s="396">
        <v>0.71573149951314496</v>
      </c>
      <c r="AX295" s="396">
        <v>2.0443037974683543E-3</v>
      </c>
      <c r="AY295" s="396">
        <v>0.39251886562804283</v>
      </c>
      <c r="AZ295" s="396">
        <v>5.0687317429406034E-2</v>
      </c>
      <c r="BA295" s="396">
        <v>322.20187123595946</v>
      </c>
      <c r="BB295" s="396">
        <v>1.7914110772031415</v>
      </c>
      <c r="BC295" s="396">
        <v>5.218199179693934E-3</v>
      </c>
      <c r="BD295" s="396">
        <v>3.5888250748969029E-2</v>
      </c>
      <c r="BE295" s="396">
        <v>0.21924340865369848</v>
      </c>
      <c r="BF295" s="396">
        <v>0</v>
      </c>
      <c r="BG295" s="396">
        <v>0</v>
      </c>
      <c r="BH295" s="396">
        <v>0</v>
      </c>
      <c r="BI295" s="396">
        <v>0</v>
      </c>
      <c r="BJ295" s="396">
        <v>0</v>
      </c>
      <c r="BK295" s="396">
        <v>1565.7726906200585</v>
      </c>
      <c r="BL295" s="396">
        <v>41.366830381920806</v>
      </c>
      <c r="BM295" s="396">
        <v>2.4772596370338566E-2</v>
      </c>
      <c r="BN295" s="396">
        <v>0.43745483867589618</v>
      </c>
      <c r="BO295" s="396">
        <v>0.73098826067378075</v>
      </c>
      <c r="BP295" s="396">
        <v>1508.5049383686849</v>
      </c>
      <c r="BQ295" s="396">
        <v>2.1711156329072336</v>
      </c>
      <c r="BR295" s="396">
        <v>5.2446132517830158E-3</v>
      </c>
      <c r="BS295" s="396">
        <v>3.697480349396721</v>
      </c>
      <c r="BT295" s="396">
        <v>0.10668804525913374</v>
      </c>
      <c r="BU295" s="396">
        <v>2209.4864365403482</v>
      </c>
      <c r="BV295" s="396">
        <v>44.900793198117007</v>
      </c>
      <c r="BW295" s="396">
        <v>1.0117344649525069E-2</v>
      </c>
      <c r="BX295" s="396">
        <v>1.3487790224574692</v>
      </c>
      <c r="BY295" s="396">
        <v>1.2583103283064498</v>
      </c>
      <c r="BZ295" s="396">
        <v>0</v>
      </c>
      <c r="CA295" s="396">
        <v>0</v>
      </c>
      <c r="CB295" s="396">
        <v>0</v>
      </c>
      <c r="CC295" s="396">
        <v>0</v>
      </c>
      <c r="CD295" s="396">
        <v>0</v>
      </c>
      <c r="CE295" s="396">
        <v>1570.6453280520748</v>
      </c>
      <c r="CF295" s="396">
        <v>43.953371535084209</v>
      </c>
      <c r="CG295" s="396">
        <v>2.5809044640711806E-2</v>
      </c>
      <c r="CH295" s="396">
        <v>0.46592860107324108</v>
      </c>
      <c r="CI295" s="396">
        <v>0.74253136354038496</v>
      </c>
      <c r="CJ295" s="396">
        <v>1501.5840323547034</v>
      </c>
      <c r="CK295" s="396">
        <v>2.0187649790293589</v>
      </c>
      <c r="CL295" s="396">
        <v>5.0877396644697431E-3</v>
      </c>
      <c r="CM295" s="396">
        <v>3.2665106351108446</v>
      </c>
      <c r="CN295" s="396">
        <v>0.1038627171959257</v>
      </c>
      <c r="CO295" s="396">
        <v>2068.0305201431893</v>
      </c>
      <c r="CP295" s="396">
        <v>44.038737104816498</v>
      </c>
      <c r="CQ295" s="396">
        <v>9.0971917449675088E-3</v>
      </c>
      <c r="CR295" s="396">
        <v>1.1961839245773871</v>
      </c>
      <c r="CS295" s="396">
        <v>1.0852390797425986</v>
      </c>
      <c r="CT295" s="396">
        <v>0</v>
      </c>
      <c r="CU295" s="396">
        <v>0</v>
      </c>
      <c r="CV295" s="396">
        <v>0</v>
      </c>
      <c r="CW295" s="396">
        <v>0</v>
      </c>
      <c r="CX295" s="396">
        <v>0</v>
      </c>
      <c r="CY295" s="396">
        <v>1245.7689477557028</v>
      </c>
      <c r="CZ295" s="396">
        <v>21.516938180531103</v>
      </c>
      <c r="DA295" s="396">
        <v>2.3270088765939216E-2</v>
      </c>
      <c r="DB295" s="396">
        <v>0.35604549137955122</v>
      </c>
      <c r="DC295" s="396">
        <v>0.72744385763917996</v>
      </c>
      <c r="DD295" s="396">
        <v>1148.8818528330448</v>
      </c>
      <c r="DE295" s="396">
        <v>0.85665481725778536</v>
      </c>
      <c r="DF295" s="396">
        <v>1.2180724886461939E-2</v>
      </c>
      <c r="DG295" s="396">
        <v>1.6751899059256057</v>
      </c>
      <c r="DH295" s="396">
        <v>9.4945359807525956E-2</v>
      </c>
      <c r="DI295" s="396">
        <v>1858.719612735978</v>
      </c>
      <c r="DJ295" s="396">
        <v>39.601096895362886</v>
      </c>
      <c r="DK295" s="396">
        <v>8.8715159905123839E-3</v>
      </c>
      <c r="DL295" s="396">
        <v>1.0487232279055823</v>
      </c>
      <c r="DM295" s="396">
        <v>1.0874121557873575</v>
      </c>
      <c r="DN295" s="396">
        <v>0</v>
      </c>
      <c r="DO295" s="396">
        <v>0</v>
      </c>
      <c r="DP295" s="396">
        <v>0</v>
      </c>
      <c r="DQ295" s="396">
        <v>0</v>
      </c>
      <c r="DR295" s="396">
        <v>0</v>
      </c>
      <c r="DS295" s="396">
        <v>1798.6788321713334</v>
      </c>
      <c r="DT295" s="396">
        <v>70.291359353165788</v>
      </c>
      <c r="DU295" s="396">
        <v>1.2065520359285912E-2</v>
      </c>
      <c r="DV295" s="396">
        <v>0.42480178746235642</v>
      </c>
      <c r="DW295" s="396">
        <v>0.84427705666524688</v>
      </c>
      <c r="DX295" s="396">
        <v>1607.5502804406347</v>
      </c>
      <c r="DY295" s="396">
        <v>2.0622791493973263</v>
      </c>
      <c r="DZ295" s="396">
        <v>7.7159508176876486E-3</v>
      </c>
      <c r="EA295" s="396">
        <v>3.6997988205929317</v>
      </c>
      <c r="EB295" s="396">
        <v>0.10089060797684996</v>
      </c>
      <c r="EC295" s="396">
        <v>2340.4540116637804</v>
      </c>
      <c r="ED295" s="396">
        <v>46.405276566947308</v>
      </c>
      <c r="EE295" s="396">
        <v>1.0098027507414262E-2</v>
      </c>
      <c r="EF295" s="396">
        <v>1.5297814533946377</v>
      </c>
      <c r="EG295" s="396">
        <v>1.3031836547839413</v>
      </c>
      <c r="EH295" s="396">
        <v>0</v>
      </c>
      <c r="EI295" s="396">
        <v>0</v>
      </c>
      <c r="EJ295" s="396">
        <v>0</v>
      </c>
      <c r="EK295" s="396">
        <v>0</v>
      </c>
      <c r="EL295" s="396">
        <v>0</v>
      </c>
      <c r="EM295" s="396">
        <v>1010.7941965987333</v>
      </c>
      <c r="EN295" s="396">
        <v>7.7634143506316216</v>
      </c>
      <c r="EO295" s="396">
        <v>2.7892171571768026E-2</v>
      </c>
      <c r="EP295" s="396">
        <v>0.35389988673257267</v>
      </c>
      <c r="EQ295" s="396">
        <v>0.70614536617277734</v>
      </c>
      <c r="ER295" s="396">
        <v>812.76378815917383</v>
      </c>
      <c r="ES295" s="396">
        <v>0.96756128036947675</v>
      </c>
      <c r="ET295" s="396">
        <v>4.3498325260761701E-3</v>
      </c>
      <c r="EU295" s="396">
        <v>1.0470289651413338</v>
      </c>
      <c r="EV295" s="396">
        <v>0.1338331392752814</v>
      </c>
      <c r="EW295" s="396">
        <v>2156.6373385018569</v>
      </c>
      <c r="EX295" s="396">
        <v>42.342373875036643</v>
      </c>
      <c r="EY295" s="396">
        <v>9.9116654926650425E-3</v>
      </c>
      <c r="EZ295" s="396">
        <v>1.2837073367080412</v>
      </c>
      <c r="FA295" s="396">
        <v>1.2087214466033436</v>
      </c>
      <c r="FB295" s="396">
        <v>0</v>
      </c>
      <c r="FC295" s="396">
        <v>0</v>
      </c>
      <c r="FD295" s="396">
        <v>0</v>
      </c>
      <c r="FE295" s="396">
        <v>0</v>
      </c>
      <c r="FF295" s="396">
        <v>0</v>
      </c>
      <c r="FG295" s="396">
        <v>934.71046814669091</v>
      </c>
      <c r="FH295" s="396">
        <v>5.198429523599545</v>
      </c>
      <c r="FI295" s="396">
        <v>1.0431909276438897E-2</v>
      </c>
      <c r="FJ295" s="396">
        <v>7.8732990745608827E-2</v>
      </c>
      <c r="FK295" s="396">
        <v>0.44887132608585045</v>
      </c>
      <c r="FL295" s="396">
        <v>747.70435618926945</v>
      </c>
      <c r="FM295" s="396">
        <v>0.8557452795863898</v>
      </c>
      <c r="FN295" s="396">
        <v>3.7428471835268314E-3</v>
      </c>
      <c r="FO295" s="396">
        <v>0.79678495370547064</v>
      </c>
      <c r="FP295" s="396">
        <v>3.9430624359140715E-2</v>
      </c>
      <c r="FQ295" s="396">
        <v>1887.1214928473073</v>
      </c>
      <c r="FR295" s="396">
        <v>39.608534738710546</v>
      </c>
      <c r="FS295" s="396">
        <v>8.8013120513841039E-3</v>
      </c>
      <c r="FT295" s="396">
        <v>1.1762119777298949</v>
      </c>
      <c r="FU295" s="396">
        <v>1.0889477512592127</v>
      </c>
      <c r="FV295" s="396">
        <v>0</v>
      </c>
      <c r="FW295" s="396">
        <v>0</v>
      </c>
      <c r="FX295" s="396">
        <v>0</v>
      </c>
      <c r="FY295" s="396">
        <v>0</v>
      </c>
      <c r="FZ295" s="396">
        <v>0</v>
      </c>
      <c r="GA295" s="396">
        <v>1511.1045479020502</v>
      </c>
      <c r="GB295" s="396">
        <v>1.5768337472173333</v>
      </c>
      <c r="GC295" s="396">
        <v>8.0549461147141795E-3</v>
      </c>
      <c r="GD295" s="396">
        <v>2.6362401652321368</v>
      </c>
      <c r="GE295" s="396">
        <v>8.8378498927116231E-2</v>
      </c>
      <c r="GF295" s="396">
        <v>1997.6479952600821</v>
      </c>
      <c r="GG295" s="396">
        <v>43.485305955120403</v>
      </c>
      <c r="GH295" s="396">
        <v>8.4566539889820835E-3</v>
      </c>
      <c r="GI295" s="396">
        <v>1.0401232258971882</v>
      </c>
      <c r="GJ295" s="396">
        <v>0.98009324232531281</v>
      </c>
      <c r="GK295" s="396">
        <v>0</v>
      </c>
      <c r="GL295" s="396">
        <v>0</v>
      </c>
      <c r="GM295" s="396">
        <v>0</v>
      </c>
      <c r="GN295" s="396">
        <v>0</v>
      </c>
      <c r="GO295" s="396">
        <v>0</v>
      </c>
      <c r="GP295" s="396">
        <v>1497.1884718304766</v>
      </c>
      <c r="GQ295" s="396">
        <v>1.6965357633615392</v>
      </c>
      <c r="GR295" s="396">
        <v>4.7748879004845595E-3</v>
      </c>
      <c r="GS295" s="396">
        <v>2.5308183264627182</v>
      </c>
      <c r="GT295" s="396">
        <v>7.8880089679612339E-2</v>
      </c>
      <c r="GU295" s="396">
        <v>1816.611947391377</v>
      </c>
      <c r="GV295" s="396">
        <v>41.642489643843703</v>
      </c>
      <c r="GW295" s="396">
        <v>0.77763504232516056</v>
      </c>
      <c r="GX295" s="396">
        <v>0.78764508926149601</v>
      </c>
      <c r="GY295" s="396">
        <f>GY$290</f>
        <v>0.33816330118320803</v>
      </c>
      <c r="GZ295" s="396">
        <v>0</v>
      </c>
      <c r="HA295" s="396">
        <v>0</v>
      </c>
      <c r="HB295" s="396">
        <v>0</v>
      </c>
      <c r="HC295" s="396">
        <v>0</v>
      </c>
      <c r="HD295" s="487">
        <v>0</v>
      </c>
    </row>
    <row r="296" spans="1:212" x14ac:dyDescent="0.35">
      <c r="B296" s="488">
        <v>2026</v>
      </c>
      <c r="C296" s="396">
        <v>271.88023850215239</v>
      </c>
      <c r="D296" s="396">
        <v>1.6646180726347464</v>
      </c>
      <c r="E296" s="396">
        <v>3.3327916465351855E-3</v>
      </c>
      <c r="F296" s="396">
        <v>3.0589307975120213E-2</v>
      </c>
      <c r="G296" s="396">
        <v>0.10526410503343371</v>
      </c>
      <c r="H296" s="396">
        <v>267.40661965877138</v>
      </c>
      <c r="I296" s="396">
        <v>1.5342083256994123</v>
      </c>
      <c r="J296" s="396">
        <v>2.6651818476784521E-3</v>
      </c>
      <c r="K296" s="396">
        <v>2.1007595708900418E-2</v>
      </c>
      <c r="L296" s="396">
        <v>5.7514183740208537E-2</v>
      </c>
      <c r="M296" s="396">
        <v>266.52056965058108</v>
      </c>
      <c r="N296" s="396">
        <v>1.6562226467412486</v>
      </c>
      <c r="O296" s="396">
        <v>3.6201179424599243E-3</v>
      </c>
      <c r="P296" s="396">
        <v>3.1293725282237714E-2</v>
      </c>
      <c r="Q296" s="396">
        <v>0.1292174864924151</v>
      </c>
      <c r="R296" s="396">
        <v>0</v>
      </c>
      <c r="S296" s="396">
        <v>0</v>
      </c>
      <c r="T296" s="396">
        <v>0</v>
      </c>
      <c r="U296" s="396">
        <v>0</v>
      </c>
      <c r="V296" s="396">
        <v>0</v>
      </c>
      <c r="W296" s="396">
        <v>339.79414838810106</v>
      </c>
      <c r="X296" s="396">
        <v>1.6372652943225874</v>
      </c>
      <c r="Y296" s="396">
        <v>4.0999829507127345E-3</v>
      </c>
      <c r="Z296" s="396">
        <v>3.9228556814896634E-2</v>
      </c>
      <c r="AA296" s="396">
        <v>0.10851500707916058</v>
      </c>
      <c r="AB296" s="396">
        <v>463.813637150511</v>
      </c>
      <c r="AC296" s="396">
        <v>0.74783096012839656</v>
      </c>
      <c r="AD296" s="396">
        <v>2.0705565124010104E-3</v>
      </c>
      <c r="AE296" s="396">
        <v>0.37829757143821208</v>
      </c>
      <c r="AF296" s="396">
        <v>5.2339511588262395E-2</v>
      </c>
      <c r="AG296" s="396">
        <v>328.86057925592422</v>
      </c>
      <c r="AH296" s="396">
        <v>1.6257706044720912</v>
      </c>
      <c r="AI296" s="396">
        <v>4.4099655564659194E-3</v>
      </c>
      <c r="AJ296" s="396">
        <v>3.9690008193265611E-2</v>
      </c>
      <c r="AK296" s="396">
        <v>0.12997382927779944</v>
      </c>
      <c r="AL296" s="396">
        <v>0</v>
      </c>
      <c r="AM296" s="396">
        <v>0</v>
      </c>
      <c r="AN296" s="396">
        <v>0</v>
      </c>
      <c r="AO296" s="396">
        <v>0</v>
      </c>
      <c r="AP296" s="396">
        <v>0</v>
      </c>
      <c r="AQ296" s="396">
        <v>385.1454578262526</v>
      </c>
      <c r="AR296" s="396">
        <v>1.5691360747438701</v>
      </c>
      <c r="AS296" s="396">
        <v>4.8228241474026099E-3</v>
      </c>
      <c r="AT296" s="396">
        <v>4.3745614210958961E-2</v>
      </c>
      <c r="AU296" s="396">
        <v>0.11962668163682659</v>
      </c>
      <c r="AV296" s="396">
        <v>476.87528579703076</v>
      </c>
      <c r="AW296" s="396">
        <v>0.7078559887815139</v>
      </c>
      <c r="AX296" s="396">
        <v>2.0290827058500748E-3</v>
      </c>
      <c r="AY296" s="396">
        <v>0.39501082218089806</v>
      </c>
      <c r="AZ296" s="396">
        <v>5.1302197969697892E-2</v>
      </c>
      <c r="BA296" s="396">
        <v>321.14513199903178</v>
      </c>
      <c r="BB296" s="396">
        <v>1.5062750756240932</v>
      </c>
      <c r="BC296" s="396">
        <v>4.3041974921333367E-3</v>
      </c>
      <c r="BD296" s="396">
        <v>3.9047859875350401E-2</v>
      </c>
      <c r="BE296" s="396">
        <v>0.12673759622886954</v>
      </c>
      <c r="BF296" s="396">
        <v>0</v>
      </c>
      <c r="BG296" s="396">
        <v>0</v>
      </c>
      <c r="BH296" s="396">
        <v>0</v>
      </c>
      <c r="BI296" s="396">
        <v>0</v>
      </c>
      <c r="BJ296" s="396">
        <v>0</v>
      </c>
      <c r="BK296" s="396">
        <v>1565.7716190575459</v>
      </c>
      <c r="BL296" s="396">
        <v>41.366757194449434</v>
      </c>
      <c r="BM296" s="396">
        <v>2.2213857892613591E-2</v>
      </c>
      <c r="BN296" s="396">
        <v>0.41973235432072314</v>
      </c>
      <c r="BO296" s="396">
        <v>0.65915807231799384</v>
      </c>
      <c r="BP296" s="396">
        <v>1508.4781348103418</v>
      </c>
      <c r="BQ296" s="396">
        <v>2.1704325048489328</v>
      </c>
      <c r="BR296" s="396">
        <v>5.2512947151626636E-3</v>
      </c>
      <c r="BS296" s="396">
        <v>3.6965867509147987</v>
      </c>
      <c r="BT296" s="396">
        <v>0.10668153006338606</v>
      </c>
      <c r="BU296" s="396">
        <v>2209.4903364768893</v>
      </c>
      <c r="BV296" s="396">
        <v>44.90089067411806</v>
      </c>
      <c r="BW296" s="396">
        <v>1.0117446734194901E-2</v>
      </c>
      <c r="BX296" s="396">
        <v>1.3487818721620677</v>
      </c>
      <c r="BY296" s="396">
        <v>1.258317324484806</v>
      </c>
      <c r="BZ296" s="396">
        <v>0</v>
      </c>
      <c r="CA296" s="396">
        <v>0</v>
      </c>
      <c r="CB296" s="396">
        <v>0</v>
      </c>
      <c r="CC296" s="396">
        <v>0</v>
      </c>
      <c r="CD296" s="396">
        <v>0</v>
      </c>
      <c r="CE296" s="396">
        <v>1570.6377665150876</v>
      </c>
      <c r="CF296" s="396">
        <v>43.95320419078908</v>
      </c>
      <c r="CG296" s="396">
        <v>2.3012947641846457E-2</v>
      </c>
      <c r="CH296" s="396">
        <v>0.44656142951581562</v>
      </c>
      <c r="CI296" s="396">
        <v>0.67120067843239373</v>
      </c>
      <c r="CJ296" s="396">
        <v>1501.5615866965957</v>
      </c>
      <c r="CK296" s="396">
        <v>2.0181337741976764</v>
      </c>
      <c r="CL296" s="396">
        <v>5.0948192675241855E-3</v>
      </c>
      <c r="CM296" s="396">
        <v>3.265732596868526</v>
      </c>
      <c r="CN296" s="396">
        <v>0.10385710184727232</v>
      </c>
      <c r="CO296" s="396">
        <v>2068.0285466148093</v>
      </c>
      <c r="CP296" s="396">
        <v>44.03856562071266</v>
      </c>
      <c r="CQ296" s="396">
        <v>9.097181839922466E-3</v>
      </c>
      <c r="CR296" s="396">
        <v>1.1961837153394002</v>
      </c>
      <c r="CS296" s="396">
        <v>1.0852395876600083</v>
      </c>
      <c r="CT296" s="396">
        <v>0</v>
      </c>
      <c r="CU296" s="396">
        <v>0</v>
      </c>
      <c r="CV296" s="396">
        <v>0</v>
      </c>
      <c r="CW296" s="396">
        <v>0</v>
      </c>
      <c r="CX296" s="396">
        <v>0</v>
      </c>
      <c r="CY296" s="396">
        <v>1245.9673562378803</v>
      </c>
      <c r="CZ296" s="396">
        <v>21.532795937355978</v>
      </c>
      <c r="DA296" s="396">
        <v>1.95786050313481E-2</v>
      </c>
      <c r="DB296" s="396">
        <v>0.3355794398212158</v>
      </c>
      <c r="DC296" s="396">
        <v>0.60614787954677862</v>
      </c>
      <c r="DD296" s="396">
        <v>1148.8082261178613</v>
      </c>
      <c r="DE296" s="396">
        <v>0.85548771211096986</v>
      </c>
      <c r="DF296" s="396">
        <v>1.2189501222593593E-2</v>
      </c>
      <c r="DG296" s="396">
        <v>1.6739102134794277</v>
      </c>
      <c r="DH296" s="396">
        <v>9.4935686401214608E-2</v>
      </c>
      <c r="DI296" s="396">
        <v>1858.7179161832951</v>
      </c>
      <c r="DJ296" s="396">
        <v>39.600855568445482</v>
      </c>
      <c r="DK296" s="396">
        <v>8.871515189965198E-3</v>
      </c>
      <c r="DL296" s="396">
        <v>1.0487216321055686</v>
      </c>
      <c r="DM296" s="396">
        <v>1.0874102740719258</v>
      </c>
      <c r="DN296" s="396">
        <v>0</v>
      </c>
      <c r="DO296" s="396">
        <v>0</v>
      </c>
      <c r="DP296" s="396">
        <v>0</v>
      </c>
      <c r="DQ296" s="396">
        <v>0</v>
      </c>
      <c r="DR296" s="396">
        <v>0</v>
      </c>
      <c r="DS296" s="396">
        <v>1798.6699497838185</v>
      </c>
      <c r="DT296" s="396">
        <v>70.291021191616423</v>
      </c>
      <c r="DU296" s="396">
        <v>1.0690230141342072E-2</v>
      </c>
      <c r="DV296" s="396">
        <v>0.41861165506588854</v>
      </c>
      <c r="DW296" s="396">
        <v>0.74401380460282696</v>
      </c>
      <c r="DX296" s="396">
        <v>1607.3666567679522</v>
      </c>
      <c r="DY296" s="396">
        <v>2.0589141278142131</v>
      </c>
      <c r="DZ296" s="396">
        <v>7.751448316128025E-3</v>
      </c>
      <c r="EA296" s="396">
        <v>3.694975311935333</v>
      </c>
      <c r="EB296" s="396">
        <v>0.1008470950628904</v>
      </c>
      <c r="EC296" s="396">
        <v>2340.4667682294721</v>
      </c>
      <c r="ED296" s="396">
        <v>46.405487997259605</v>
      </c>
      <c r="EE296" s="396">
        <v>1.0098077217780102E-2</v>
      </c>
      <c r="EF296" s="396">
        <v>1.529788250565657</v>
      </c>
      <c r="EG296" s="396">
        <v>1.3031920168029352</v>
      </c>
      <c r="EH296" s="396">
        <v>0</v>
      </c>
      <c r="EI296" s="396">
        <v>0</v>
      </c>
      <c r="EJ296" s="396">
        <v>0</v>
      </c>
      <c r="EK296" s="396">
        <v>0</v>
      </c>
      <c r="EL296" s="396">
        <v>0</v>
      </c>
      <c r="EM296" s="396">
        <v>1012.7512479568848</v>
      </c>
      <c r="EN296" s="396">
        <v>7.8610239872774663</v>
      </c>
      <c r="EO296" s="396">
        <v>2.3721120289791051E-2</v>
      </c>
      <c r="EP296" s="396">
        <v>0.32781287273048548</v>
      </c>
      <c r="EQ296" s="396">
        <v>0.52124177231965363</v>
      </c>
      <c r="ER296" s="396">
        <v>815.17615176151753</v>
      </c>
      <c r="ES296" s="396">
        <v>0.96856171470805619</v>
      </c>
      <c r="ET296" s="396">
        <v>4.3895146587829515E-3</v>
      </c>
      <c r="EU296" s="396">
        <v>1.0563685636856368</v>
      </c>
      <c r="EV296" s="396">
        <v>0.13395319044099532</v>
      </c>
      <c r="EW296" s="396">
        <v>2156.6438086315866</v>
      </c>
      <c r="EX296" s="396">
        <v>42.342558248046906</v>
      </c>
      <c r="EY296" s="396">
        <v>9.9116906412777279E-3</v>
      </c>
      <c r="EZ296" s="396">
        <v>1.2837137861729766</v>
      </c>
      <c r="FA296" s="396">
        <v>1.2087270852283352</v>
      </c>
      <c r="FB296" s="396">
        <v>0</v>
      </c>
      <c r="FC296" s="396">
        <v>0</v>
      </c>
      <c r="FD296" s="396">
        <v>0</v>
      </c>
      <c r="FE296" s="396">
        <v>0</v>
      </c>
      <c r="FF296" s="396">
        <v>0</v>
      </c>
      <c r="FG296" s="396">
        <v>936.34041353227565</v>
      </c>
      <c r="FH296" s="396">
        <v>5.2915709416028731</v>
      </c>
      <c r="FI296" s="396">
        <v>1.0083726600923937E-2</v>
      </c>
      <c r="FJ296" s="396">
        <v>7.7674979887369253E-2</v>
      </c>
      <c r="FK296" s="396">
        <v>0.26515123868923707</v>
      </c>
      <c r="FL296" s="396">
        <v>749.83070666553192</v>
      </c>
      <c r="FM296" s="396">
        <v>0.85652251138798341</v>
      </c>
      <c r="FN296" s="396">
        <v>3.7750933426090043E-3</v>
      </c>
      <c r="FO296" s="396">
        <v>0.80460033821662891</v>
      </c>
      <c r="FP296" s="396">
        <v>3.9533416469003595E-2</v>
      </c>
      <c r="FQ296" s="396">
        <v>1887.1307513481454</v>
      </c>
      <c r="FR296" s="396">
        <v>39.608884465139113</v>
      </c>
      <c r="FS296" s="396">
        <v>8.8013266704389751E-3</v>
      </c>
      <c r="FT296" s="396">
        <v>1.1762167394994647</v>
      </c>
      <c r="FU296" s="396">
        <v>1.0889537301527785</v>
      </c>
      <c r="FV296" s="396">
        <v>0</v>
      </c>
      <c r="FW296" s="396">
        <v>0</v>
      </c>
      <c r="FX296" s="396">
        <v>0</v>
      </c>
      <c r="FY296" s="396">
        <v>0</v>
      </c>
      <c r="FZ296" s="396">
        <v>0</v>
      </c>
      <c r="GA296" s="396">
        <v>1510.8472643827174</v>
      </c>
      <c r="GB296" s="396">
        <v>1.5731499460313512</v>
      </c>
      <c r="GC296" s="396">
        <v>8.0960352575881658E-3</v>
      </c>
      <c r="GD296" s="396">
        <v>2.6311959047489517</v>
      </c>
      <c r="GE296" s="396">
        <v>8.8317740782646675E-2</v>
      </c>
      <c r="GF296" s="396">
        <v>1997.6474081518452</v>
      </c>
      <c r="GG296" s="396">
        <v>43.4852620399027</v>
      </c>
      <c r="GH296" s="396">
        <v>8.4566540662151836E-3</v>
      </c>
      <c r="GI296" s="396">
        <v>1.0401242533946988</v>
      </c>
      <c r="GJ296" s="396">
        <v>0.98009090597626869</v>
      </c>
      <c r="GK296" s="396">
        <v>0</v>
      </c>
      <c r="GL296" s="396">
        <v>0</v>
      </c>
      <c r="GM296" s="396">
        <v>0</v>
      </c>
      <c r="GN296" s="396">
        <v>0</v>
      </c>
      <c r="GO296" s="396">
        <v>0</v>
      </c>
      <c r="GP296" s="396">
        <v>1497.164833334595</v>
      </c>
      <c r="GQ296" s="396">
        <v>1.6959823152220819</v>
      </c>
      <c r="GR296" s="396">
        <v>4.7826044166521565E-3</v>
      </c>
      <c r="GS296" s="396">
        <v>2.5300966757765484</v>
      </c>
      <c r="GT296" s="396">
        <v>7.8871384121552562E-2</v>
      </c>
      <c r="GU296" s="396">
        <v>1816.6143258553589</v>
      </c>
      <c r="GV296" s="396">
        <v>41.642499737043764</v>
      </c>
      <c r="GW296" s="396">
        <v>0.77763482141515516</v>
      </c>
      <c r="GX296" s="396">
        <v>0.78764781896590585</v>
      </c>
      <c r="GY296" s="396"/>
      <c r="GZ296" s="396">
        <v>0</v>
      </c>
      <c r="HA296" s="396">
        <v>0</v>
      </c>
      <c r="HB296" s="396">
        <v>0</v>
      </c>
      <c r="HC296" s="396">
        <v>0</v>
      </c>
      <c r="HD296" s="487">
        <v>0</v>
      </c>
    </row>
    <row r="297" spans="1:212" x14ac:dyDescent="0.35">
      <c r="B297" s="488">
        <v>2027</v>
      </c>
      <c r="C297" s="396">
        <v>262.63886259701701</v>
      </c>
      <c r="D297" s="396">
        <v>1.6700574878697607</v>
      </c>
      <c r="E297" s="396">
        <v>3.3645547928145142E-3</v>
      </c>
      <c r="F297" s="396">
        <v>3.1275094899819667E-2</v>
      </c>
      <c r="G297" s="396">
        <v>0.10468471340752622</v>
      </c>
      <c r="H297" s="396">
        <v>258.31331828442438</v>
      </c>
      <c r="I297" s="396">
        <v>1.5368668171557562</v>
      </c>
      <c r="J297" s="396">
        <v>2.6846410835214447E-3</v>
      </c>
      <c r="K297" s="396">
        <v>2.1582212189616253E-2</v>
      </c>
      <c r="L297" s="396">
        <v>5.8344740406320539E-2</v>
      </c>
      <c r="M297" s="396">
        <v>257.48197630058701</v>
      </c>
      <c r="N297" s="396">
        <v>1.6615690350508399</v>
      </c>
      <c r="O297" s="396">
        <v>3.6568645770075204E-3</v>
      </c>
      <c r="P297" s="396">
        <v>3.199518070413105E-2</v>
      </c>
      <c r="Q297" s="396">
        <v>0.12822227153111909</v>
      </c>
      <c r="R297" s="396">
        <v>0</v>
      </c>
      <c r="S297" s="396">
        <v>0</v>
      </c>
      <c r="T297" s="396">
        <v>0</v>
      </c>
      <c r="U297" s="396">
        <v>0</v>
      </c>
      <c r="V297" s="396">
        <v>0</v>
      </c>
      <c r="W297" s="396">
        <v>329.48555325480299</v>
      </c>
      <c r="X297" s="396">
        <v>1.6434012588620874</v>
      </c>
      <c r="Y297" s="396">
        <v>4.1396061599221099E-3</v>
      </c>
      <c r="Z297" s="396">
        <v>4.017422486732581E-2</v>
      </c>
      <c r="AA297" s="396">
        <v>0.10810341044663549</v>
      </c>
      <c r="AB297" s="396">
        <v>462.63107178165853</v>
      </c>
      <c r="AC297" s="396">
        <v>0.75188099565191391</v>
      </c>
      <c r="AD297" s="396">
        <v>2.0809631142697039E-3</v>
      </c>
      <c r="AE297" s="396">
        <v>0.37981025269513197</v>
      </c>
      <c r="AF297" s="396">
        <v>5.2942362483261889E-2</v>
      </c>
      <c r="AG297" s="396">
        <v>318.85298554852824</v>
      </c>
      <c r="AH297" s="396">
        <v>1.6318270081379003</v>
      </c>
      <c r="AI297" s="396">
        <v>4.4600611535482639E-3</v>
      </c>
      <c r="AJ297" s="396">
        <v>4.0677387502798895E-2</v>
      </c>
      <c r="AK297" s="396">
        <v>0.12904683422102642</v>
      </c>
      <c r="AL297" s="396">
        <v>0</v>
      </c>
      <c r="AM297" s="396">
        <v>0</v>
      </c>
      <c r="AN297" s="396">
        <v>0</v>
      </c>
      <c r="AO297" s="396">
        <v>0</v>
      </c>
      <c r="AP297" s="396">
        <v>0</v>
      </c>
      <c r="AQ297" s="396">
        <v>374.3223372495433</v>
      </c>
      <c r="AR297" s="396">
        <v>1.5744389323748273</v>
      </c>
      <c r="AS297" s="396">
        <v>4.8324223565582893E-3</v>
      </c>
      <c r="AT297" s="396">
        <v>4.4471014600383205E-2</v>
      </c>
      <c r="AU297" s="396">
        <v>0.11879112391759621</v>
      </c>
      <c r="AV297" s="396">
        <v>476.50910685336152</v>
      </c>
      <c r="AW297" s="396">
        <v>0.70999994230691577</v>
      </c>
      <c r="AX297" s="396">
        <v>2.0361677945664653E-3</v>
      </c>
      <c r="AY297" s="396">
        <v>0.39735881059937345</v>
      </c>
      <c r="AZ297" s="396">
        <v>5.1847044094824359E-2</v>
      </c>
      <c r="BA297" s="396">
        <v>311.37394037112966</v>
      </c>
      <c r="BB297" s="396">
        <v>1.5122655266164351</v>
      </c>
      <c r="BC297" s="396">
        <v>4.3553217330984609E-3</v>
      </c>
      <c r="BD297" s="396">
        <v>4.0020810309183516E-2</v>
      </c>
      <c r="BE297" s="396">
        <v>0.12587626443761818</v>
      </c>
      <c r="BF297" s="396">
        <v>0</v>
      </c>
      <c r="BG297" s="396">
        <v>0</v>
      </c>
      <c r="BH297" s="396">
        <v>0</v>
      </c>
      <c r="BI297" s="396">
        <v>0</v>
      </c>
      <c r="BJ297" s="396">
        <v>0</v>
      </c>
      <c r="BK297" s="396">
        <v>1492.9624103926349</v>
      </c>
      <c r="BL297" s="396">
        <v>17.181489028783524</v>
      </c>
      <c r="BM297" s="396">
        <v>1.5064517302863796E-2</v>
      </c>
      <c r="BN297" s="396">
        <v>0.18853753502419851</v>
      </c>
      <c r="BO297" s="396">
        <v>0.2938939631017794</v>
      </c>
      <c r="BP297" s="396">
        <v>1439.4269351595296</v>
      </c>
      <c r="BQ297" s="396">
        <v>2.1467320291721883</v>
      </c>
      <c r="BR297" s="396">
        <v>4.3094309199247531E-3</v>
      </c>
      <c r="BS297" s="396">
        <v>2.4731955037021249</v>
      </c>
      <c r="BT297" s="396">
        <v>9.3077628786685324E-2</v>
      </c>
      <c r="BU297" s="396">
        <v>2145.6768385328655</v>
      </c>
      <c r="BV297" s="396">
        <v>44.813271232409868</v>
      </c>
      <c r="BW297" s="396">
        <v>1.0097269358022238E-2</v>
      </c>
      <c r="BX297" s="396">
        <v>1.3486076991891853</v>
      </c>
      <c r="BY297" s="396">
        <v>1.2590559902304646</v>
      </c>
      <c r="BZ297" s="396">
        <v>0</v>
      </c>
      <c r="CA297" s="396">
        <v>0</v>
      </c>
      <c r="CB297" s="396">
        <v>0</v>
      </c>
      <c r="CC297" s="396">
        <v>0</v>
      </c>
      <c r="CD297" s="396">
        <v>0</v>
      </c>
      <c r="CE297" s="396">
        <v>1472.3259719750333</v>
      </c>
      <c r="CF297" s="396">
        <v>17.452247261424311</v>
      </c>
      <c r="CG297" s="396">
        <v>1.5781590755270348E-2</v>
      </c>
      <c r="CH297" s="396">
        <v>0.20227483518411751</v>
      </c>
      <c r="CI297" s="396">
        <v>0.31424623367508081</v>
      </c>
      <c r="CJ297" s="396">
        <v>1439.2800487713016</v>
      </c>
      <c r="CK297" s="396">
        <v>1.9045001739552312</v>
      </c>
      <c r="CL297" s="396">
        <v>3.7870532622191581E-3</v>
      </c>
      <c r="CM297" s="396">
        <v>1.8575386451919733</v>
      </c>
      <c r="CN297" s="396">
        <v>9.042831288960386E-2</v>
      </c>
      <c r="CO297" s="396">
        <v>2017.4606279956961</v>
      </c>
      <c r="CP297" s="396">
        <v>43.803188887802023</v>
      </c>
      <c r="CQ297" s="396">
        <v>9.0832192115817278E-3</v>
      </c>
      <c r="CR297" s="396">
        <v>1.1960041083830577</v>
      </c>
      <c r="CS297" s="396">
        <v>1.0888853565489582</v>
      </c>
      <c r="CT297" s="396">
        <v>0</v>
      </c>
      <c r="CU297" s="396">
        <v>0</v>
      </c>
      <c r="CV297" s="396">
        <v>0</v>
      </c>
      <c r="CW297" s="396">
        <v>0</v>
      </c>
      <c r="CX297" s="396">
        <v>0</v>
      </c>
      <c r="CY297" s="396">
        <v>1193.4080628652557</v>
      </c>
      <c r="CZ297" s="396">
        <v>9.6572787004325296</v>
      </c>
      <c r="DA297" s="396">
        <v>1.5483705880410738E-2</v>
      </c>
      <c r="DB297" s="396">
        <v>0.19225822960346023</v>
      </c>
      <c r="DC297" s="396">
        <v>0.35672648330967083</v>
      </c>
      <c r="DD297" s="396">
        <v>1097.9368295135703</v>
      </c>
      <c r="DE297" s="396">
        <v>0.84017978345065769</v>
      </c>
      <c r="DF297" s="396">
        <v>9.4277245314107957E-3</v>
      </c>
      <c r="DG297" s="396">
        <v>1.1728099520049726</v>
      </c>
      <c r="DH297" s="396">
        <v>8.5881633765982457E-2</v>
      </c>
      <c r="DI297" s="396">
        <v>1807.5480078627049</v>
      </c>
      <c r="DJ297" s="396">
        <v>39.484813260754514</v>
      </c>
      <c r="DK297" s="396">
        <v>8.8597423830044601E-3</v>
      </c>
      <c r="DL297" s="396">
        <v>1.0482701103802829</v>
      </c>
      <c r="DM297" s="396">
        <v>1.0877301164285176</v>
      </c>
      <c r="DN297" s="396">
        <v>0</v>
      </c>
      <c r="DO297" s="396">
        <v>0</v>
      </c>
      <c r="DP297" s="396">
        <v>0</v>
      </c>
      <c r="DQ297" s="396">
        <v>0</v>
      </c>
      <c r="DR297" s="396">
        <v>0</v>
      </c>
      <c r="DS297" s="396">
        <v>1684.3145632174087</v>
      </c>
      <c r="DT297" s="396">
        <v>26.756956905636734</v>
      </c>
      <c r="DU297" s="396">
        <v>7.4063630408157449E-3</v>
      </c>
      <c r="DV297" s="396">
        <v>0.1108855279273121</v>
      </c>
      <c r="DW297" s="396">
        <v>0.24160699535731583</v>
      </c>
      <c r="DX297" s="396">
        <v>1511.9504344595109</v>
      </c>
      <c r="DY297" s="396">
        <v>2.0163979926672368</v>
      </c>
      <c r="DZ297" s="396">
        <v>6.0581696742337092E-3</v>
      </c>
      <c r="EA297" s="396">
        <v>2.606452652642794</v>
      </c>
      <c r="EB297" s="396">
        <v>8.4670137567653458E-2</v>
      </c>
      <c r="EC297" s="396">
        <v>2257.7078117706965</v>
      </c>
      <c r="ED297" s="396">
        <v>45.985912504773623</v>
      </c>
      <c r="EE297" s="396">
        <v>1.0018203420036492E-2</v>
      </c>
      <c r="EF297" s="396">
        <v>1.5282980438749101</v>
      </c>
      <c r="EG297" s="396">
        <v>1.3052743242669833</v>
      </c>
      <c r="EH297" s="396">
        <v>0</v>
      </c>
      <c r="EI297" s="396">
        <v>0</v>
      </c>
      <c r="EJ297" s="396">
        <v>0</v>
      </c>
      <c r="EK297" s="396">
        <v>0</v>
      </c>
      <c r="EL297" s="396">
        <v>0</v>
      </c>
      <c r="EM297" s="396">
        <v>992.32525771361247</v>
      </c>
      <c r="EN297" s="396">
        <v>4.8502048408760103</v>
      </c>
      <c r="EO297" s="396">
        <v>2.1547162106217533E-2</v>
      </c>
      <c r="EP297" s="396">
        <v>0.28401416933137769</v>
      </c>
      <c r="EQ297" s="396">
        <v>0.40621060302081746</v>
      </c>
      <c r="ER297" s="396">
        <v>796.13842478154118</v>
      </c>
      <c r="ES297" s="396">
        <v>0.96562528418250504</v>
      </c>
      <c r="ET297" s="396">
        <v>3.8785393639272163E-3</v>
      </c>
      <c r="EU297" s="396">
        <v>0.81450632848604099</v>
      </c>
      <c r="EV297" s="396">
        <v>0.13109101280578037</v>
      </c>
      <c r="EW297" s="396">
        <v>2101.7529316651357</v>
      </c>
      <c r="EX297" s="396">
        <v>42.308013559492984</v>
      </c>
      <c r="EY297" s="396">
        <v>9.9092251515672074E-3</v>
      </c>
      <c r="EZ297" s="396">
        <v>1.2834066413778866</v>
      </c>
      <c r="FA297" s="396">
        <v>1.2093053675356993</v>
      </c>
      <c r="FB297" s="396">
        <v>0</v>
      </c>
      <c r="FC297" s="396">
        <v>0</v>
      </c>
      <c r="FD297" s="396">
        <v>0</v>
      </c>
      <c r="FE297" s="396">
        <v>0</v>
      </c>
      <c r="FF297" s="396">
        <v>0</v>
      </c>
      <c r="FG297" s="396">
        <v>918.80650046216476</v>
      </c>
      <c r="FH297" s="396">
        <v>2.5969366014828608</v>
      </c>
      <c r="FI297" s="396">
        <v>7.9943032456422126E-3</v>
      </c>
      <c r="FJ297" s="396">
        <v>3.562897019201143E-2</v>
      </c>
      <c r="FK297" s="396">
        <v>0.15826652157096688</v>
      </c>
      <c r="FL297" s="396">
        <v>734.03472024325288</v>
      </c>
      <c r="FM297" s="396">
        <v>0.85644665028200606</v>
      </c>
      <c r="FN297" s="396">
        <v>3.3527123653075306E-3</v>
      </c>
      <c r="FO297" s="396">
        <v>0.6471588911856988</v>
      </c>
      <c r="FP297" s="396">
        <v>3.7039217586652337E-2</v>
      </c>
      <c r="FQ297" s="396">
        <v>1837.080851533201</v>
      </c>
      <c r="FR297" s="396">
        <v>39.607324067946173</v>
      </c>
      <c r="FS297" s="396">
        <v>8.8010423560555932E-3</v>
      </c>
      <c r="FT297" s="396">
        <v>1.1762078093977497</v>
      </c>
      <c r="FU297" s="396">
        <v>1.0888594749613942</v>
      </c>
      <c r="FV297" s="396">
        <v>0</v>
      </c>
      <c r="FW297" s="396">
        <v>0</v>
      </c>
      <c r="FX297" s="396">
        <v>0</v>
      </c>
      <c r="FY297" s="396">
        <v>0</v>
      </c>
      <c r="FZ297" s="396">
        <v>0</v>
      </c>
      <c r="GA297" s="396">
        <v>1448.2122159293785</v>
      </c>
      <c r="GB297" s="396">
        <v>1.5534412577386412</v>
      </c>
      <c r="GC297" s="396">
        <v>6.3638081531083657E-3</v>
      </c>
      <c r="GD297" s="396">
        <v>1.8083288929416999</v>
      </c>
      <c r="GE297" s="396">
        <v>7.6523750144198294E-2</v>
      </c>
      <c r="GF297" s="396">
        <v>1943.9855904284607</v>
      </c>
      <c r="GG297" s="396">
        <v>43.38568935427574</v>
      </c>
      <c r="GH297" s="396">
        <v>8.4453714851004669E-3</v>
      </c>
      <c r="GI297" s="396">
        <v>1.0401302834317923</v>
      </c>
      <c r="GJ297" s="396">
        <v>0.98179205047083085</v>
      </c>
      <c r="GK297" s="396">
        <v>0</v>
      </c>
      <c r="GL297" s="396">
        <v>0</v>
      </c>
      <c r="GM297" s="396">
        <v>0</v>
      </c>
      <c r="GN297" s="396">
        <v>0</v>
      </c>
      <c r="GO297" s="396">
        <v>0</v>
      </c>
      <c r="GP297" s="396">
        <v>1413.8009970495473</v>
      </c>
      <c r="GQ297" s="396">
        <v>1.6664653067453454</v>
      </c>
      <c r="GR297" s="396">
        <v>3.8184326991555599E-3</v>
      </c>
      <c r="GS297" s="396">
        <v>1.596258520704039</v>
      </c>
      <c r="GT297" s="396">
        <v>6.6689134194729882E-2</v>
      </c>
      <c r="GU297" s="396">
        <v>1744.4330147443131</v>
      </c>
      <c r="GV297" s="396">
        <v>41.40075968667086</v>
      </c>
      <c r="GW297" s="396">
        <v>0.7737535246199071</v>
      </c>
      <c r="GX297" s="396">
        <v>0.7868166731582924</v>
      </c>
      <c r="GY297" s="396"/>
      <c r="GZ297" s="396">
        <v>0</v>
      </c>
      <c r="HA297" s="396">
        <v>0</v>
      </c>
      <c r="HB297" s="396">
        <v>0</v>
      </c>
      <c r="HC297" s="396">
        <v>0</v>
      </c>
      <c r="HD297" s="487">
        <v>0</v>
      </c>
    </row>
    <row r="298" spans="1:212" x14ac:dyDescent="0.35">
      <c r="B298" s="488">
        <v>2028</v>
      </c>
      <c r="C298" s="396">
        <v>272.7018450825127</v>
      </c>
      <c r="D298" s="396">
        <v>1.6757168622987819</v>
      </c>
      <c r="E298" s="396">
        <v>3.3919908179897958E-3</v>
      </c>
      <c r="F298" s="396">
        <v>3.3181875174815058E-2</v>
      </c>
      <c r="G298" s="396">
        <v>0.1060088155013937</v>
      </c>
      <c r="H298" s="396">
        <v>268.32610309923007</v>
      </c>
      <c r="I298" s="396">
        <v>1.5400320475241336</v>
      </c>
      <c r="J298" s="396">
        <v>2.702239418454684E-3</v>
      </c>
      <c r="K298" s="396">
        <v>2.3470121546097625E-2</v>
      </c>
      <c r="L298" s="396">
        <v>6.0813069136670964E-2</v>
      </c>
      <c r="M298" s="396">
        <v>267.3552287803152</v>
      </c>
      <c r="N298" s="396">
        <v>1.6671184296717942</v>
      </c>
      <c r="O298" s="396">
        <v>3.688061409651164E-3</v>
      </c>
      <c r="P298" s="396">
        <v>3.3942460451913591E-2</v>
      </c>
      <c r="Q298" s="396">
        <v>0.12940337165789495</v>
      </c>
      <c r="R298" s="396">
        <v>0</v>
      </c>
      <c r="S298" s="396">
        <v>0</v>
      </c>
      <c r="T298" s="396">
        <v>0</v>
      </c>
      <c r="U298" s="396">
        <v>0</v>
      </c>
      <c r="V298" s="396">
        <v>0</v>
      </c>
      <c r="W298" s="396">
        <v>346.14047467428531</v>
      </c>
      <c r="X298" s="396">
        <v>1.6501592000413059</v>
      </c>
      <c r="Y298" s="396">
        <v>4.181608522795725E-3</v>
      </c>
      <c r="Z298" s="396">
        <v>4.2834277059704315E-2</v>
      </c>
      <c r="AA298" s="396">
        <v>0.10973374868767534</v>
      </c>
      <c r="AB298" s="396">
        <v>464.25115226269946</v>
      </c>
      <c r="AC298" s="396">
        <v>0.75401309998305099</v>
      </c>
      <c r="AD298" s="396">
        <v>2.0887666005106587E-3</v>
      </c>
      <c r="AE298" s="396">
        <v>0.38257718656540968</v>
      </c>
      <c r="AF298" s="396">
        <v>5.3680132968108425E-2</v>
      </c>
      <c r="AG298" s="396">
        <v>335.37595315703311</v>
      </c>
      <c r="AH298" s="396">
        <v>1.6383939764900222</v>
      </c>
      <c r="AI298" s="396">
        <v>4.5077137505346527E-3</v>
      </c>
      <c r="AJ298" s="396">
        <v>4.341750121679621E-2</v>
      </c>
      <c r="AK298" s="396">
        <v>0.13083877818911224</v>
      </c>
      <c r="AL298" s="396">
        <v>0</v>
      </c>
      <c r="AM298" s="396">
        <v>0</v>
      </c>
      <c r="AN298" s="396">
        <v>0</v>
      </c>
      <c r="AO298" s="396">
        <v>0</v>
      </c>
      <c r="AP298" s="396">
        <v>0</v>
      </c>
      <c r="AQ298" s="396">
        <v>388.2956557974789</v>
      </c>
      <c r="AR298" s="396">
        <v>1.5818016757697975</v>
      </c>
      <c r="AS298" s="396">
        <v>4.8675457264893661E-3</v>
      </c>
      <c r="AT298" s="396">
        <v>4.6834491688122273E-2</v>
      </c>
      <c r="AU298" s="396">
        <v>0.12029898947807063</v>
      </c>
      <c r="AV298" s="396">
        <v>477.30285856494834</v>
      </c>
      <c r="AW298" s="396">
        <v>0.71163787739957696</v>
      </c>
      <c r="AX298" s="396">
        <v>2.0421714686485446E-3</v>
      </c>
      <c r="AY298" s="396">
        <v>0.40027035893259127</v>
      </c>
      <c r="AZ298" s="396">
        <v>5.244041356998224E-2</v>
      </c>
      <c r="BA298" s="396">
        <v>327.50087138375739</v>
      </c>
      <c r="BB298" s="396">
        <v>1.5187223024448537</v>
      </c>
      <c r="BC298" s="396">
        <v>4.4024797092067922E-3</v>
      </c>
      <c r="BD298" s="396">
        <v>4.2714982821291637E-2</v>
      </c>
      <c r="BE298" s="396">
        <v>0.12766643429766469</v>
      </c>
      <c r="BF298" s="396">
        <v>0</v>
      </c>
      <c r="BG298" s="396">
        <v>0</v>
      </c>
      <c r="BH298" s="396">
        <v>0</v>
      </c>
      <c r="BI298" s="396">
        <v>0</v>
      </c>
      <c r="BJ298" s="396">
        <v>0</v>
      </c>
      <c r="BK298" s="396">
        <v>1492.9566466766616</v>
      </c>
      <c r="BL298" s="396">
        <v>17.181444000222111</v>
      </c>
      <c r="BM298" s="396">
        <v>1.5064464295629961E-2</v>
      </c>
      <c r="BN298" s="396">
        <v>0.18853594036315174</v>
      </c>
      <c r="BO298" s="396">
        <v>0.2921195652173913</v>
      </c>
      <c r="BP298" s="396">
        <v>1439.3964750336906</v>
      </c>
      <c r="BQ298" s="396">
        <v>2.1460808751640497</v>
      </c>
      <c r="BR298" s="396">
        <v>4.3142170117939273E-3</v>
      </c>
      <c r="BS298" s="396">
        <v>2.4727171835501571</v>
      </c>
      <c r="BT298" s="396">
        <v>9.3071617943681587E-2</v>
      </c>
      <c r="BU298" s="396">
        <v>2145.6776344602517</v>
      </c>
      <c r="BV298" s="396">
        <v>44.813302629162365</v>
      </c>
      <c r="BW298" s="396">
        <v>1.0097269118291115E-2</v>
      </c>
      <c r="BX298" s="396">
        <v>1.3486147803851207</v>
      </c>
      <c r="BY298" s="396">
        <v>1.2590593786643687</v>
      </c>
      <c r="BZ298" s="396">
        <v>0</v>
      </c>
      <c r="CA298" s="396">
        <v>0</v>
      </c>
      <c r="CB298" s="396">
        <v>0</v>
      </c>
      <c r="CC298" s="396">
        <v>0</v>
      </c>
      <c r="CD298" s="396">
        <v>0</v>
      </c>
      <c r="CE298" s="396">
        <v>1472.3234313248436</v>
      </c>
      <c r="CF298" s="396">
        <v>17.452200951827106</v>
      </c>
      <c r="CG298" s="396">
        <v>1.5781518888189985E-2</v>
      </c>
      <c r="CH298" s="396">
        <v>0.20227394106267577</v>
      </c>
      <c r="CI298" s="396">
        <v>0.31219572983301486</v>
      </c>
      <c r="CJ298" s="396">
        <v>1439.2428778833353</v>
      </c>
      <c r="CK298" s="396">
        <v>1.903947059284204</v>
      </c>
      <c r="CL298" s="396">
        <v>3.792207088079905E-3</v>
      </c>
      <c r="CM298" s="396">
        <v>1.8572926016735243</v>
      </c>
      <c r="CN298" s="396">
        <v>9.0423622113652652E-2</v>
      </c>
      <c r="CO298" s="396">
        <v>2017.4578711397983</v>
      </c>
      <c r="CP298" s="396">
        <v>43.803144204382946</v>
      </c>
      <c r="CQ298" s="396">
        <v>9.0832141614810794E-3</v>
      </c>
      <c r="CR298" s="396">
        <v>1.1960030727012716</v>
      </c>
      <c r="CS298" s="396">
        <v>1.0888836818304797</v>
      </c>
      <c r="CT298" s="396">
        <v>0</v>
      </c>
      <c r="CU298" s="396">
        <v>0</v>
      </c>
      <c r="CV298" s="396">
        <v>0</v>
      </c>
      <c r="CW298" s="396">
        <v>0</v>
      </c>
      <c r="CX298" s="396">
        <v>0</v>
      </c>
      <c r="CY298" s="396">
        <v>1193.9169527675804</v>
      </c>
      <c r="CZ298" s="396">
        <v>9.6734088692604718</v>
      </c>
      <c r="DA298" s="396">
        <v>1.5468795838916596E-2</v>
      </c>
      <c r="DB298" s="396">
        <v>0.1922867722266712</v>
      </c>
      <c r="DC298" s="396">
        <v>0.35407029757137987</v>
      </c>
      <c r="DD298" s="396">
        <v>1097.8729102961854</v>
      </c>
      <c r="DE298" s="396">
        <v>0.83912907617793453</v>
      </c>
      <c r="DF298" s="396">
        <v>9.4336595763676537E-3</v>
      </c>
      <c r="DG298" s="396">
        <v>1.1722024752806732</v>
      </c>
      <c r="DH298" s="396">
        <v>8.5873853313394199E-2</v>
      </c>
      <c r="DI298" s="396">
        <v>1807.5485192288938</v>
      </c>
      <c r="DJ298" s="396">
        <v>39.48481218726009</v>
      </c>
      <c r="DK298" s="396">
        <v>8.8597699884719154E-3</v>
      </c>
      <c r="DL298" s="396">
        <v>1.0482729130042288</v>
      </c>
      <c r="DM298" s="396">
        <v>1.0877309680339491</v>
      </c>
      <c r="DN298" s="396">
        <v>0</v>
      </c>
      <c r="DO298" s="396">
        <v>0</v>
      </c>
      <c r="DP298" s="396">
        <v>0</v>
      </c>
      <c r="DQ298" s="396">
        <v>0</v>
      </c>
      <c r="DR298" s="396">
        <v>0</v>
      </c>
      <c r="DS298" s="396">
        <v>1684.3190984944119</v>
      </c>
      <c r="DT298" s="396">
        <v>26.756981434157456</v>
      </c>
      <c r="DU298" s="396">
        <v>7.406375401541509E-3</v>
      </c>
      <c r="DV298" s="396">
        <v>0.11088600839516817</v>
      </c>
      <c r="DW298" s="396">
        <v>0.23737594548272214</v>
      </c>
      <c r="DX298" s="396">
        <v>1511.7636523494741</v>
      </c>
      <c r="DY298" s="396">
        <v>2.0132086684685273</v>
      </c>
      <c r="DZ298" s="396">
        <v>6.0827037676251267E-3</v>
      </c>
      <c r="EA298" s="396">
        <v>2.6038050734312419</v>
      </c>
      <c r="EB298" s="396">
        <v>8.4633576475951683E-2</v>
      </c>
      <c r="EC298" s="396">
        <v>2257.7129906420587</v>
      </c>
      <c r="ED298" s="396">
        <v>45.985914348843252</v>
      </c>
      <c r="EE298" s="396">
        <v>1.0018195996880686E-2</v>
      </c>
      <c r="EF298" s="396">
        <v>1.5282972121133349</v>
      </c>
      <c r="EG298" s="396">
        <v>1.305274402131531</v>
      </c>
      <c r="EH298" s="396">
        <v>0</v>
      </c>
      <c r="EI298" s="396">
        <v>0</v>
      </c>
      <c r="EJ298" s="396">
        <v>0</v>
      </c>
      <c r="EK298" s="396">
        <v>0</v>
      </c>
      <c r="EL298" s="396">
        <v>0</v>
      </c>
      <c r="EM298" s="396">
        <v>992.27435341787725</v>
      </c>
      <c r="EN298" s="396">
        <v>4.8398611307012711</v>
      </c>
      <c r="EO298" s="396">
        <v>2.1493325810712043E-2</v>
      </c>
      <c r="EP298" s="396">
        <v>0.28262562991267776</v>
      </c>
      <c r="EQ298" s="396">
        <v>0.39220318771077234</v>
      </c>
      <c r="ER298" s="396">
        <v>795.57548874188944</v>
      </c>
      <c r="ES298" s="396">
        <v>0.96393749165219711</v>
      </c>
      <c r="ET298" s="396">
        <v>3.8806141171012212E-3</v>
      </c>
      <c r="EU298" s="396">
        <v>0.81220782689995985</v>
      </c>
      <c r="EV298" s="396">
        <v>0.13106015338868074</v>
      </c>
      <c r="EW298" s="396">
        <v>2101.7549732753828</v>
      </c>
      <c r="EX298" s="396">
        <v>42.308019654792844</v>
      </c>
      <c r="EY298" s="396">
        <v>9.9092441075339585E-3</v>
      </c>
      <c r="EZ298" s="396">
        <v>1.2834086086176961</v>
      </c>
      <c r="FA298" s="396">
        <v>1.2093102098251267</v>
      </c>
      <c r="FB298" s="396">
        <v>0</v>
      </c>
      <c r="FC298" s="396">
        <v>0</v>
      </c>
      <c r="FD298" s="396">
        <v>0</v>
      </c>
      <c r="FE298" s="396">
        <v>0</v>
      </c>
      <c r="FF298" s="396">
        <v>0</v>
      </c>
      <c r="FG298" s="396">
        <v>918.78232189269522</v>
      </c>
      <c r="FH298" s="396">
        <v>2.5951177597626125</v>
      </c>
      <c r="FI298" s="396">
        <v>8.0008592486644284E-3</v>
      </c>
      <c r="FJ298" s="396">
        <v>3.5527263800013878E-2</v>
      </c>
      <c r="FK298" s="396">
        <v>0.14529014319032091</v>
      </c>
      <c r="FL298" s="396">
        <v>733.53065301579613</v>
      </c>
      <c r="FM298" s="396">
        <v>0.85506249041782389</v>
      </c>
      <c r="FN298" s="396">
        <v>3.3546803737136478E-3</v>
      </c>
      <c r="FO298" s="396">
        <v>0.64501299664931044</v>
      </c>
      <c r="FP298" s="396">
        <v>3.701043125937005E-2</v>
      </c>
      <c r="FQ298" s="396">
        <v>1837.0807877329414</v>
      </c>
      <c r="FR298" s="396">
        <v>39.607456021235443</v>
      </c>
      <c r="FS298" s="396">
        <v>8.8010428794430412E-3</v>
      </c>
      <c r="FT298" s="396">
        <v>1.1762078957498412</v>
      </c>
      <c r="FU298" s="396">
        <v>1.088859657616255</v>
      </c>
      <c r="FV298" s="396">
        <v>0</v>
      </c>
      <c r="FW298" s="396">
        <v>0</v>
      </c>
      <c r="FX298" s="396">
        <v>0</v>
      </c>
      <c r="FY298" s="396">
        <v>0</v>
      </c>
      <c r="FZ298" s="396">
        <v>0</v>
      </c>
      <c r="GA298" s="396">
        <v>1447.9594087800574</v>
      </c>
      <c r="GB298" s="396">
        <v>1.5499227884403266</v>
      </c>
      <c r="GC298" s="396">
        <v>6.3928171189058022E-3</v>
      </c>
      <c r="GD298" s="396">
        <v>1.8054268696227662</v>
      </c>
      <c r="GE298" s="396">
        <v>7.6475446724023829E-2</v>
      </c>
      <c r="GF298" s="396">
        <v>1943.9908805561577</v>
      </c>
      <c r="GG298" s="396">
        <v>43.385754080068075</v>
      </c>
      <c r="GH298" s="396">
        <v>8.4453595999004587E-3</v>
      </c>
      <c r="GI298" s="396">
        <v>1.0401303695140844</v>
      </c>
      <c r="GJ298" s="396">
        <v>0.98180125071245672</v>
      </c>
      <c r="GK298" s="396">
        <v>0</v>
      </c>
      <c r="GL298" s="396">
        <v>0</v>
      </c>
      <c r="GM298" s="396">
        <v>0</v>
      </c>
      <c r="GN298" s="396">
        <v>0</v>
      </c>
      <c r="GO298" s="396">
        <v>0</v>
      </c>
      <c r="GP298" s="396">
        <v>1413.7792678905134</v>
      </c>
      <c r="GQ298" s="396">
        <v>1.6659283280202266</v>
      </c>
      <c r="GR298" s="396">
        <v>3.823881499395406E-3</v>
      </c>
      <c r="GS298" s="396">
        <v>1.5958282950423217</v>
      </c>
      <c r="GT298" s="396">
        <v>6.6682422776739581E-2</v>
      </c>
      <c r="GU298" s="396">
        <v>1744.4437399419689</v>
      </c>
      <c r="GV298" s="396">
        <v>41.400591178220004</v>
      </c>
      <c r="GW298" s="396">
        <v>0.7737550686437018</v>
      </c>
      <c r="GX298" s="396">
        <v>0.78681654453613037</v>
      </c>
      <c r="GY298" s="396"/>
      <c r="GZ298" s="396">
        <v>0</v>
      </c>
      <c r="HA298" s="396">
        <v>0</v>
      </c>
      <c r="HB298" s="396">
        <v>0</v>
      </c>
      <c r="HC298" s="396">
        <v>0</v>
      </c>
      <c r="HD298" s="487">
        <v>0</v>
      </c>
    </row>
    <row r="299" spans="1:212" x14ac:dyDescent="0.35">
      <c r="B299" s="488">
        <v>2029</v>
      </c>
      <c r="C299" s="396">
        <v>294.98928343856807</v>
      </c>
      <c r="D299" s="396">
        <v>1.6800382320570006</v>
      </c>
      <c r="E299" s="396">
        <v>3.4144799088609555E-3</v>
      </c>
      <c r="F299" s="396">
        <v>3.5504836934484155E-2</v>
      </c>
      <c r="G299" s="396">
        <v>0.10801907741026086</v>
      </c>
      <c r="H299" s="396">
        <v>290.413750612174</v>
      </c>
      <c r="I299" s="396">
        <v>1.5421570640926399</v>
      </c>
      <c r="J299" s="396">
        <v>2.7173494052038735E-3</v>
      </c>
      <c r="K299" s="396">
        <v>2.5819602205406092E-2</v>
      </c>
      <c r="L299" s="396">
        <v>6.3900535553484253E-2</v>
      </c>
      <c r="M299" s="396">
        <v>289.20416165077307</v>
      </c>
      <c r="N299" s="396">
        <v>1.6713794053382947</v>
      </c>
      <c r="O299" s="396">
        <v>3.7132393175617288E-3</v>
      </c>
      <c r="P299" s="396">
        <v>3.6314818239110008E-2</v>
      </c>
      <c r="Q299" s="396">
        <v>0.13146314403130674</v>
      </c>
      <c r="R299" s="396">
        <v>0</v>
      </c>
      <c r="S299" s="396">
        <v>0</v>
      </c>
      <c r="T299" s="396">
        <v>0</v>
      </c>
      <c r="U299" s="396">
        <v>0</v>
      </c>
      <c r="V299" s="396">
        <v>0</v>
      </c>
      <c r="W299" s="396">
        <v>373.73667114149976</v>
      </c>
      <c r="X299" s="396">
        <v>1.6559676420875444</v>
      </c>
      <c r="Y299" s="396">
        <v>4.2215181508969369E-3</v>
      </c>
      <c r="Z299" s="396">
        <v>4.6108981894315108E-2</v>
      </c>
      <c r="AA299" s="396">
        <v>0.11223994379795085</v>
      </c>
      <c r="AB299" s="396">
        <v>466.8067374516018</v>
      </c>
      <c r="AC299" s="396">
        <v>0.75591986452016391</v>
      </c>
      <c r="AD299" s="396">
        <v>2.0965083023561405E-3</v>
      </c>
      <c r="AE299" s="396">
        <v>0.38510143420303705</v>
      </c>
      <c r="AF299" s="396">
        <v>5.4465985988236869E-2</v>
      </c>
      <c r="AG299" s="396">
        <v>362.72563882159881</v>
      </c>
      <c r="AH299" s="396">
        <v>1.6440572009064625</v>
      </c>
      <c r="AI299" s="396">
        <v>4.553113266874304E-3</v>
      </c>
      <c r="AJ299" s="396">
        <v>4.6792589036865034E-2</v>
      </c>
      <c r="AK299" s="396">
        <v>0.13363213848483835</v>
      </c>
      <c r="AL299" s="396">
        <v>0</v>
      </c>
      <c r="AM299" s="396">
        <v>0</v>
      </c>
      <c r="AN299" s="396">
        <v>0</v>
      </c>
      <c r="AO299" s="396">
        <v>0</v>
      </c>
      <c r="AP299" s="396">
        <v>0</v>
      </c>
      <c r="AQ299" s="396">
        <v>411.60908341452443</v>
      </c>
      <c r="AR299" s="396">
        <v>1.588128606760099</v>
      </c>
      <c r="AS299" s="396">
        <v>4.8989732443978119E-3</v>
      </c>
      <c r="AT299" s="396">
        <v>4.9719328486847035E-2</v>
      </c>
      <c r="AU299" s="396">
        <v>0.12250993030053212</v>
      </c>
      <c r="AV299" s="396">
        <v>478.42828257078463</v>
      </c>
      <c r="AW299" s="396">
        <v>0.71297385299042293</v>
      </c>
      <c r="AX299" s="396">
        <v>2.0479950869346062E-3</v>
      </c>
      <c r="AY299" s="396">
        <v>0.4029292993667476</v>
      </c>
      <c r="AZ299" s="396">
        <v>5.3037294106059646E-2</v>
      </c>
      <c r="BA299" s="396">
        <v>354.19671257619098</v>
      </c>
      <c r="BB299" s="396">
        <v>1.5243079486310323</v>
      </c>
      <c r="BC299" s="396">
        <v>4.4473533123778096E-3</v>
      </c>
      <c r="BD299" s="396">
        <v>4.6032313867544902E-2</v>
      </c>
      <c r="BE299" s="396">
        <v>0.13043249848962624</v>
      </c>
      <c r="BF299" s="396">
        <v>0</v>
      </c>
      <c r="BG299" s="396">
        <v>0</v>
      </c>
      <c r="BH299" s="396">
        <v>0</v>
      </c>
      <c r="BI299" s="396">
        <v>0</v>
      </c>
      <c r="BJ299" s="396">
        <v>0</v>
      </c>
      <c r="BK299" s="396">
        <v>1492.9606917325677</v>
      </c>
      <c r="BL299" s="396">
        <v>17.181455326988026</v>
      </c>
      <c r="BM299" s="396">
        <v>1.5064518002804769E-2</v>
      </c>
      <c r="BN299" s="396">
        <v>0.18853695574604387</v>
      </c>
      <c r="BO299" s="396">
        <v>0.29036005609539539</v>
      </c>
      <c r="BP299" s="396">
        <v>1439.3659044553647</v>
      </c>
      <c r="BQ299" s="396">
        <v>2.1454684716472885</v>
      </c>
      <c r="BR299" s="396">
        <v>4.3187689871511314E-3</v>
      </c>
      <c r="BS299" s="396">
        <v>2.4485141612950421</v>
      </c>
      <c r="BT299" s="396">
        <v>9.306608604352952E-2</v>
      </c>
      <c r="BU299" s="396">
        <v>2145.6706355836777</v>
      </c>
      <c r="BV299" s="396">
        <v>44.813189687111795</v>
      </c>
      <c r="BW299" s="396">
        <v>1.0097200932780251E-2</v>
      </c>
      <c r="BX299" s="396">
        <v>1.348608457498202</v>
      </c>
      <c r="BY299" s="396">
        <v>1.2590499298961884</v>
      </c>
      <c r="BZ299" s="396">
        <v>0</v>
      </c>
      <c r="CA299" s="396">
        <v>0</v>
      </c>
      <c r="CB299" s="396">
        <v>0</v>
      </c>
      <c r="CC299" s="396">
        <v>0</v>
      </c>
      <c r="CD299" s="396">
        <v>0</v>
      </c>
      <c r="CE299" s="396">
        <v>1472.3255329803576</v>
      </c>
      <c r="CF299" s="396">
        <v>17.452216039206196</v>
      </c>
      <c r="CG299" s="396">
        <v>1.5781563859177276E-2</v>
      </c>
      <c r="CH299" s="396">
        <v>0.20227427458967967</v>
      </c>
      <c r="CI299" s="396">
        <v>0.31015602581487339</v>
      </c>
      <c r="CJ299" s="396">
        <v>1439.2139699768043</v>
      </c>
      <c r="CK299" s="396">
        <v>1.9034239281077217</v>
      </c>
      <c r="CL299" s="396">
        <v>3.7971318949042263E-3</v>
      </c>
      <c r="CM299" s="396">
        <v>1.8432141450391704</v>
      </c>
      <c r="CN299" s="396">
        <v>9.0419420251798027E-2</v>
      </c>
      <c r="CO299" s="396">
        <v>2017.4671198463127</v>
      </c>
      <c r="CP299" s="396">
        <v>43.803260923107231</v>
      </c>
      <c r="CQ299" s="396">
        <v>9.0832471306832186E-3</v>
      </c>
      <c r="CR299" s="396">
        <v>1.1960051229003499</v>
      </c>
      <c r="CS299" s="396">
        <v>1.0888872469336486</v>
      </c>
      <c r="CT299" s="396">
        <v>0</v>
      </c>
      <c r="CU299" s="396">
        <v>0</v>
      </c>
      <c r="CV299" s="396">
        <v>0</v>
      </c>
      <c r="CW299" s="396">
        <v>0</v>
      </c>
      <c r="CX299" s="396">
        <v>0</v>
      </c>
      <c r="CY299" s="396">
        <v>1193.6273001415473</v>
      </c>
      <c r="CZ299" s="396">
        <v>9.6642101052372453</v>
      </c>
      <c r="DA299" s="396">
        <v>1.5477260139085482E-2</v>
      </c>
      <c r="DB299" s="396">
        <v>0.19227029355652656</v>
      </c>
      <c r="DC299" s="396">
        <v>0.35136700720044312</v>
      </c>
      <c r="DD299" s="396">
        <v>1097.8134415177637</v>
      </c>
      <c r="DE299" s="396">
        <v>0.83815860481135074</v>
      </c>
      <c r="DF299" s="396">
        <v>9.4391774439801165E-3</v>
      </c>
      <c r="DG299" s="396">
        <v>1.1707348821568908</v>
      </c>
      <c r="DH299" s="396">
        <v>8.5866826846154473E-2</v>
      </c>
      <c r="DI299" s="396">
        <v>1807.5507416872879</v>
      </c>
      <c r="DJ299" s="396">
        <v>39.484807918542856</v>
      </c>
      <c r="DK299" s="396">
        <v>8.8597622814490292E-3</v>
      </c>
      <c r="DL299" s="396">
        <v>1.0482711992752154</v>
      </c>
      <c r="DM299" s="396">
        <v>1.0877313969683446</v>
      </c>
      <c r="DN299" s="396">
        <v>0</v>
      </c>
      <c r="DO299" s="396">
        <v>0</v>
      </c>
      <c r="DP299" s="396">
        <v>0</v>
      </c>
      <c r="DQ299" s="396">
        <v>0</v>
      </c>
      <c r="DR299" s="396">
        <v>0</v>
      </c>
      <c r="DS299" s="396">
        <v>1684.3114418816044</v>
      </c>
      <c r="DT299" s="396">
        <v>26.756949967806687</v>
      </c>
      <c r="DU299" s="396">
        <v>7.4063553384085146E-3</v>
      </c>
      <c r="DV299" s="396">
        <v>0.11088560012119836</v>
      </c>
      <c r="DW299" s="396">
        <v>0.23362449342877703</v>
      </c>
      <c r="DX299" s="396">
        <v>1511.5939832531353</v>
      </c>
      <c r="DY299" s="396">
        <v>2.0101845186223621</v>
      </c>
      <c r="DZ299" s="396">
        <v>6.1060508468154433E-3</v>
      </c>
      <c r="EA299" s="396">
        <v>2.5769635888303717</v>
      </c>
      <c r="EB299" s="396">
        <v>8.4599704467093542E-2</v>
      </c>
      <c r="EC299" s="396">
        <v>2257.7150031890956</v>
      </c>
      <c r="ED299" s="396">
        <v>45.985951934918383</v>
      </c>
      <c r="EE299" s="396">
        <v>1.0018211940454175E-2</v>
      </c>
      <c r="EF299" s="396">
        <v>1.528302719355602</v>
      </c>
      <c r="EG299" s="396">
        <v>1.3052746432826421</v>
      </c>
      <c r="EH299" s="396">
        <v>0</v>
      </c>
      <c r="EI299" s="396">
        <v>0</v>
      </c>
      <c r="EJ299" s="396">
        <v>0</v>
      </c>
      <c r="EK299" s="396">
        <v>0</v>
      </c>
      <c r="EL299" s="396">
        <v>0</v>
      </c>
      <c r="EM299" s="396">
        <v>991.52488289277187</v>
      </c>
      <c r="EN299" s="396">
        <v>4.8106926025672125</v>
      </c>
      <c r="EO299" s="396">
        <v>2.143002001069317E-2</v>
      </c>
      <c r="EP299" s="396">
        <v>0.28077087259953232</v>
      </c>
      <c r="EQ299" s="396">
        <v>0.38066408272031976</v>
      </c>
      <c r="ER299" s="396">
        <v>792.83439786968586</v>
      </c>
      <c r="ES299" s="396">
        <v>0.96029248369055831</v>
      </c>
      <c r="ET299" s="396">
        <v>3.8577990478141319E-3</v>
      </c>
      <c r="EU299" s="396">
        <v>0.80248660794646898</v>
      </c>
      <c r="EV299" s="396">
        <v>0.13094045424355844</v>
      </c>
      <c r="EW299" s="396">
        <v>2101.7479943267326</v>
      </c>
      <c r="EX299" s="396">
        <v>42.307931747561256</v>
      </c>
      <c r="EY299" s="396">
        <v>9.9092168942108861E-3</v>
      </c>
      <c r="EZ299" s="396">
        <v>1.2834048807422886</v>
      </c>
      <c r="FA299" s="396">
        <v>1.2093045916654936</v>
      </c>
      <c r="FB299" s="396">
        <v>0</v>
      </c>
      <c r="FC299" s="396">
        <v>0</v>
      </c>
      <c r="FD299" s="396">
        <v>0</v>
      </c>
      <c r="FE299" s="396">
        <v>0</v>
      </c>
      <c r="FF299" s="396">
        <v>0</v>
      </c>
      <c r="FG299" s="396">
        <v>918.15844557699313</v>
      </c>
      <c r="FH299" s="396">
        <v>2.5781761922096837</v>
      </c>
      <c r="FI299" s="396">
        <v>8.0162222424463043E-3</v>
      </c>
      <c r="FJ299" s="396">
        <v>3.5361075718966149E-2</v>
      </c>
      <c r="FK299" s="396">
        <v>0.13586321441572624</v>
      </c>
      <c r="FL299" s="396">
        <v>731.06185084495962</v>
      </c>
      <c r="FM299" s="396">
        <v>0.85212061462472244</v>
      </c>
      <c r="FN299" s="396">
        <v>3.3365498561029289E-3</v>
      </c>
      <c r="FO299" s="396">
        <v>0.63629094095738858</v>
      </c>
      <c r="FP299" s="396">
        <v>3.6904569852318776E-2</v>
      </c>
      <c r="FQ299" s="396">
        <v>1837.0739311776313</v>
      </c>
      <c r="FR299" s="396">
        <v>39.607275222166969</v>
      </c>
      <c r="FS299" s="396">
        <v>8.8010039580786702E-3</v>
      </c>
      <c r="FT299" s="396">
        <v>1.1762050645168993</v>
      </c>
      <c r="FU299" s="396">
        <v>1.0888559350553761</v>
      </c>
      <c r="FV299" s="396">
        <v>0</v>
      </c>
      <c r="FW299" s="396">
        <v>0</v>
      </c>
      <c r="FX299" s="396">
        <v>0</v>
      </c>
      <c r="FY299" s="396">
        <v>0</v>
      </c>
      <c r="FZ299" s="396">
        <v>0</v>
      </c>
      <c r="GA299" s="396">
        <v>1447.7144081365718</v>
      </c>
      <c r="GB299" s="396">
        <v>1.5465800690075096</v>
      </c>
      <c r="GC299" s="396">
        <v>6.4203068503860062E-3</v>
      </c>
      <c r="GD299" s="396">
        <v>1.7921280322335731</v>
      </c>
      <c r="GE299" s="396">
        <v>7.6429199648196999E-2</v>
      </c>
      <c r="GF299" s="396">
        <v>1943.9958744658907</v>
      </c>
      <c r="GG299" s="396">
        <v>43.38566376897009</v>
      </c>
      <c r="GH299" s="396">
        <v>8.445410343303374E-3</v>
      </c>
      <c r="GI299" s="396">
        <v>1.0401281862383971</v>
      </c>
      <c r="GJ299" s="396">
        <v>0.98179608074259628</v>
      </c>
      <c r="GK299" s="396">
        <v>0</v>
      </c>
      <c r="GL299" s="396">
        <v>0</v>
      </c>
      <c r="GM299" s="396">
        <v>0</v>
      </c>
      <c r="GN299" s="396">
        <v>0</v>
      </c>
      <c r="GO299" s="396">
        <v>0</v>
      </c>
      <c r="GP299" s="396">
        <v>1413.7558266388971</v>
      </c>
      <c r="GQ299" s="396">
        <v>1.6654071208965584</v>
      </c>
      <c r="GR299" s="396">
        <v>3.8290836060696221E-3</v>
      </c>
      <c r="GS299" s="396">
        <v>1.5891847664385599</v>
      </c>
      <c r="GT299" s="396">
        <v>6.6675096697411479E-2</v>
      </c>
      <c r="GU299" s="396">
        <v>1744.4400260493207</v>
      </c>
      <c r="GV299" s="396">
        <v>41.400698490637801</v>
      </c>
      <c r="GW299" s="396">
        <v>0.77375415665323855</v>
      </c>
      <c r="GX299" s="396">
        <v>0.78681627736763537</v>
      </c>
      <c r="GY299" s="396"/>
      <c r="GZ299" s="396">
        <v>0</v>
      </c>
      <c r="HA299" s="396">
        <v>0</v>
      </c>
      <c r="HB299" s="396">
        <v>0</v>
      </c>
      <c r="HC299" s="396">
        <v>0</v>
      </c>
      <c r="HD299" s="487">
        <v>0</v>
      </c>
    </row>
    <row r="300" spans="1:212" x14ac:dyDescent="0.35">
      <c r="B300" s="488">
        <v>2030</v>
      </c>
      <c r="C300" s="396">
        <v>306.71752270134181</v>
      </c>
      <c r="D300" s="396">
        <v>1.6836804933475402</v>
      </c>
      <c r="E300" s="396">
        <v>3.4328672054011753E-3</v>
      </c>
      <c r="F300" s="396">
        <v>3.6842556883009116E-2</v>
      </c>
      <c r="G300" s="396">
        <v>0.10870430264683974</v>
      </c>
      <c r="H300" s="396">
        <v>302.02840227527759</v>
      </c>
      <c r="I300" s="396">
        <v>1.5439383972449019</v>
      </c>
      <c r="J300" s="396">
        <v>2.7298920403977869E-3</v>
      </c>
      <c r="K300" s="396">
        <v>2.7139960530898115E-2</v>
      </c>
      <c r="L300" s="396">
        <v>6.5696242696281396E-2</v>
      </c>
      <c r="M300" s="396">
        <v>300.69744906121116</v>
      </c>
      <c r="N300" s="396">
        <v>1.6749589492478472</v>
      </c>
      <c r="O300" s="396">
        <v>3.7336233701518282E-3</v>
      </c>
      <c r="P300" s="396">
        <v>3.7681188734165809E-2</v>
      </c>
      <c r="Q300" s="396">
        <v>0.13192691219276292</v>
      </c>
      <c r="R300" s="396">
        <v>0</v>
      </c>
      <c r="S300" s="396">
        <v>0</v>
      </c>
      <c r="T300" s="396">
        <v>0</v>
      </c>
      <c r="U300" s="396">
        <v>0</v>
      </c>
      <c r="V300" s="396">
        <v>0</v>
      </c>
      <c r="W300" s="396">
        <v>386.97583105254728</v>
      </c>
      <c r="X300" s="396">
        <v>1.661062124863238</v>
      </c>
      <c r="Y300" s="396">
        <v>4.2567136911923608E-3</v>
      </c>
      <c r="Z300" s="396">
        <v>4.8051589506225435E-2</v>
      </c>
      <c r="AA300" s="396">
        <v>0.11327604953083407</v>
      </c>
      <c r="AB300" s="396">
        <v>468.12482330833319</v>
      </c>
      <c r="AC300" s="396">
        <v>0.75731988536521821</v>
      </c>
      <c r="AD300" s="396">
        <v>2.102921856551311E-3</v>
      </c>
      <c r="AE300" s="396">
        <v>0.38734832232994643</v>
      </c>
      <c r="AF300" s="396">
        <v>5.5057539121613756E-2</v>
      </c>
      <c r="AG300" s="396">
        <v>375.85000018172104</v>
      </c>
      <c r="AH300" s="396">
        <v>1.6490058041701343</v>
      </c>
      <c r="AI300" s="396">
        <v>4.5928176574703706E-3</v>
      </c>
      <c r="AJ300" s="396">
        <v>4.8792463664877321E-2</v>
      </c>
      <c r="AK300" s="396">
        <v>0.13454408007356067</v>
      </c>
      <c r="AL300" s="396">
        <v>0</v>
      </c>
      <c r="AM300" s="396">
        <v>0</v>
      </c>
      <c r="AN300" s="396">
        <v>0</v>
      </c>
      <c r="AO300" s="396">
        <v>0</v>
      </c>
      <c r="AP300" s="396">
        <v>0</v>
      </c>
      <c r="AQ300" s="396">
        <v>422.80091194864985</v>
      </c>
      <c r="AR300" s="396">
        <v>1.5938242193360928</v>
      </c>
      <c r="AS300" s="396">
        <v>4.9292068754780228E-3</v>
      </c>
      <c r="AT300" s="396">
        <v>5.1461789278382207E-2</v>
      </c>
      <c r="AU300" s="396">
        <v>0.12341314713771817</v>
      </c>
      <c r="AV300" s="396">
        <v>479.05754691200582</v>
      </c>
      <c r="AW300" s="396">
        <v>0.71404741300783392</v>
      </c>
      <c r="AX300" s="396">
        <v>2.0529638823100749E-3</v>
      </c>
      <c r="AY300" s="396">
        <v>0.40527873929677538</v>
      </c>
      <c r="AZ300" s="396">
        <v>5.3522271816359997E-2</v>
      </c>
      <c r="BA300" s="396">
        <v>367.00749364981033</v>
      </c>
      <c r="BB300" s="396">
        <v>1.5292181751130987</v>
      </c>
      <c r="BC300" s="396">
        <v>4.4866356956728649E-3</v>
      </c>
      <c r="BD300" s="396">
        <v>4.799964460845467E-2</v>
      </c>
      <c r="BE300" s="396">
        <v>0.13136220849069349</v>
      </c>
      <c r="BF300" s="396">
        <v>0</v>
      </c>
      <c r="BG300" s="396">
        <v>0</v>
      </c>
      <c r="BH300" s="396">
        <v>0</v>
      </c>
      <c r="BI300" s="396">
        <v>0</v>
      </c>
      <c r="BJ300" s="396">
        <v>0</v>
      </c>
      <c r="BK300" s="396">
        <v>1492.9635056936336</v>
      </c>
      <c r="BL300" s="396">
        <v>17.181615537724998</v>
      </c>
      <c r="BM300" s="396">
        <v>1.5064525726759681E-2</v>
      </c>
      <c r="BN300" s="396">
        <v>0.18853827073279777</v>
      </c>
      <c r="BO300" s="396">
        <v>0.28861161892669795</v>
      </c>
      <c r="BP300" s="396">
        <v>1439.3321535739017</v>
      </c>
      <c r="BQ300" s="396">
        <v>2.14486248963436</v>
      </c>
      <c r="BR300" s="396">
        <v>4.3231002026108585E-3</v>
      </c>
      <c r="BS300" s="396">
        <v>2.4480692125533241</v>
      </c>
      <c r="BT300" s="396">
        <v>9.3060791806656232E-2</v>
      </c>
      <c r="BU300" s="396">
        <v>2145.6678590917359</v>
      </c>
      <c r="BV300" s="396">
        <v>44.813178318074335</v>
      </c>
      <c r="BW300" s="396">
        <v>1.0097238222276117E-2</v>
      </c>
      <c r="BX300" s="396">
        <v>1.3486024373976837</v>
      </c>
      <c r="BY300" s="396">
        <v>1.2590568726126237</v>
      </c>
      <c r="BZ300" s="396">
        <v>0</v>
      </c>
      <c r="CA300" s="396">
        <v>0</v>
      </c>
      <c r="CB300" s="396">
        <v>0</v>
      </c>
      <c r="CC300" s="396">
        <v>0</v>
      </c>
      <c r="CD300" s="396">
        <v>0</v>
      </c>
      <c r="CE300" s="396">
        <v>1472.3225930598021</v>
      </c>
      <c r="CF300" s="396">
        <v>17.452213978747515</v>
      </c>
      <c r="CG300" s="396">
        <v>1.5781520600372027E-2</v>
      </c>
      <c r="CH300" s="396">
        <v>0.20227384490389341</v>
      </c>
      <c r="CI300" s="396">
        <v>0.30812896880545637</v>
      </c>
      <c r="CJ300" s="396">
        <v>1439.179971451794</v>
      </c>
      <c r="CK300" s="396">
        <v>1.9029131232713832</v>
      </c>
      <c r="CL300" s="396">
        <v>3.8018226047796706E-3</v>
      </c>
      <c r="CM300" s="396">
        <v>1.8429963553648514</v>
      </c>
      <c r="CN300" s="396">
        <v>9.0415097807762024E-2</v>
      </c>
      <c r="CO300" s="396">
        <v>2017.4616673371593</v>
      </c>
      <c r="CP300" s="396">
        <v>43.803119573464784</v>
      </c>
      <c r="CQ300" s="396">
        <v>9.0832242721759094E-3</v>
      </c>
      <c r="CR300" s="396">
        <v>1.196001996201107</v>
      </c>
      <c r="CS300" s="396">
        <v>1.0888844189374303</v>
      </c>
      <c r="CT300" s="396">
        <v>0</v>
      </c>
      <c r="CU300" s="396">
        <v>0</v>
      </c>
      <c r="CV300" s="396">
        <v>0</v>
      </c>
      <c r="CW300" s="396">
        <v>0</v>
      </c>
      <c r="CX300" s="396">
        <v>0</v>
      </c>
      <c r="CY300" s="396">
        <v>1192.8643781654473</v>
      </c>
      <c r="CZ300" s="396">
        <v>9.6402926280247598</v>
      </c>
      <c r="DA300" s="396">
        <v>1.5499230913524665E-2</v>
      </c>
      <c r="DB300" s="396">
        <v>0.19222734946539111</v>
      </c>
      <c r="DC300" s="396">
        <v>0.34864828362408551</v>
      </c>
      <c r="DD300" s="396">
        <v>1097.759062917233</v>
      </c>
      <c r="DE300" s="396">
        <v>0.83725496211307782</v>
      </c>
      <c r="DF300" s="396">
        <v>9.4443206963564265E-3</v>
      </c>
      <c r="DG300" s="396">
        <v>1.1702250540527201</v>
      </c>
      <c r="DH300" s="396">
        <v>8.5860261880594521E-2</v>
      </c>
      <c r="DI300" s="396">
        <v>1807.5483505325051</v>
      </c>
      <c r="DJ300" s="396">
        <v>39.484792311143643</v>
      </c>
      <c r="DK300" s="396">
        <v>8.8597480340992258E-3</v>
      </c>
      <c r="DL300" s="396">
        <v>1.0482708338253002</v>
      </c>
      <c r="DM300" s="396">
        <v>1.0877305358112734</v>
      </c>
      <c r="DN300" s="396">
        <v>0</v>
      </c>
      <c r="DO300" s="396">
        <v>0</v>
      </c>
      <c r="DP300" s="396">
        <v>0</v>
      </c>
      <c r="DQ300" s="396">
        <v>0</v>
      </c>
      <c r="DR300" s="396">
        <v>0</v>
      </c>
      <c r="DS300" s="396">
        <v>1684.3141612587785</v>
      </c>
      <c r="DT300" s="396">
        <v>26.757000622277538</v>
      </c>
      <c r="DU300" s="396">
        <v>7.4063916792603789E-3</v>
      </c>
      <c r="DV300" s="396">
        <v>0.11088585652057961</v>
      </c>
      <c r="DW300" s="396">
        <v>0.23026180104898214</v>
      </c>
      <c r="DX300" s="396">
        <v>1511.4404408282751</v>
      </c>
      <c r="DY300" s="396">
        <v>2.0073112632198256</v>
      </c>
      <c r="DZ300" s="396">
        <v>6.1283668403001989E-3</v>
      </c>
      <c r="EA300" s="396">
        <v>2.5746588316328727</v>
      </c>
      <c r="EB300" s="396">
        <v>8.4567781652245044E-2</v>
      </c>
      <c r="EC300" s="396">
        <v>2257.7129490581005</v>
      </c>
      <c r="ED300" s="396">
        <v>45.986206674423578</v>
      </c>
      <c r="EE300" s="396">
        <v>1.0018197849271887E-2</v>
      </c>
      <c r="EF300" s="396">
        <v>1.5283012790833439</v>
      </c>
      <c r="EG300" s="396">
        <v>1.3052769736815619</v>
      </c>
      <c r="EH300" s="396">
        <v>0</v>
      </c>
      <c r="EI300" s="396">
        <v>0</v>
      </c>
      <c r="EJ300" s="396">
        <v>0</v>
      </c>
      <c r="EK300" s="396">
        <v>0</v>
      </c>
      <c r="EL300" s="396">
        <v>0</v>
      </c>
      <c r="EM300" s="396">
        <v>990.15618111811307</v>
      </c>
      <c r="EN300" s="396">
        <v>4.7606191183628113</v>
      </c>
      <c r="EO300" s="396">
        <v>2.1333285766342448E-2</v>
      </c>
      <c r="EP300" s="396">
        <v>0.27786682431726506</v>
      </c>
      <c r="EQ300" s="396">
        <v>0.37035744045419683</v>
      </c>
      <c r="ER300" s="396">
        <v>788.48504126835314</v>
      </c>
      <c r="ES300" s="396">
        <v>0.95523262627446381</v>
      </c>
      <c r="ET300" s="396">
        <v>3.8163321111873783E-3</v>
      </c>
      <c r="EU300" s="396">
        <v>0.79054427349282619</v>
      </c>
      <c r="EV300" s="396">
        <v>0.13075510762139145</v>
      </c>
      <c r="EW300" s="396">
        <v>2101.7492002916001</v>
      </c>
      <c r="EX300" s="396">
        <v>42.307860844762956</v>
      </c>
      <c r="EY300" s="396">
        <v>9.9092136765074959E-3</v>
      </c>
      <c r="EZ300" s="396">
        <v>1.2834055029498586</v>
      </c>
      <c r="FA300" s="396">
        <v>1.2093064944687666</v>
      </c>
      <c r="FB300" s="396">
        <v>0</v>
      </c>
      <c r="FC300" s="396">
        <v>0</v>
      </c>
      <c r="FD300" s="396">
        <v>0</v>
      </c>
      <c r="FE300" s="396">
        <v>0</v>
      </c>
      <c r="FF300" s="396">
        <v>0</v>
      </c>
      <c r="FG300" s="396">
        <v>917.01691521733949</v>
      </c>
      <c r="FH300" s="396">
        <v>2.5475119773086607</v>
      </c>
      <c r="FI300" s="396">
        <v>8.0421768112948194E-3</v>
      </c>
      <c r="FJ300" s="396">
        <v>3.5092322604736902E-2</v>
      </c>
      <c r="FK300" s="396">
        <v>0.128627356729142</v>
      </c>
      <c r="FL300" s="396">
        <v>727.12973273942089</v>
      </c>
      <c r="FM300" s="396">
        <v>0.848040785077951</v>
      </c>
      <c r="FN300" s="396">
        <v>3.3033303173719375E-3</v>
      </c>
      <c r="FO300" s="396">
        <v>0.62531928591314034</v>
      </c>
      <c r="FP300" s="396">
        <v>3.6741891703786188E-2</v>
      </c>
      <c r="FQ300" s="396">
        <v>1837.07604663487</v>
      </c>
      <c r="FR300" s="396">
        <v>39.607346316905137</v>
      </c>
      <c r="FS300" s="396">
        <v>8.8010068892421835E-3</v>
      </c>
      <c r="FT300" s="396">
        <v>1.1762056173820878</v>
      </c>
      <c r="FU300" s="396">
        <v>1.0888583896396395</v>
      </c>
      <c r="FV300" s="396">
        <v>0</v>
      </c>
      <c r="FW300" s="396">
        <v>0</v>
      </c>
      <c r="FX300" s="396">
        <v>0</v>
      </c>
      <c r="FY300" s="396">
        <v>0</v>
      </c>
      <c r="FZ300" s="396">
        <v>0</v>
      </c>
      <c r="GA300" s="396">
        <v>1447.4820814172485</v>
      </c>
      <c r="GB300" s="396">
        <v>1.5434205359935582</v>
      </c>
      <c r="GC300" s="396">
        <v>6.4464572116888384E-3</v>
      </c>
      <c r="GD300" s="396">
        <v>1.7895689557642267</v>
      </c>
      <c r="GE300" s="396">
        <v>7.638540425786787E-2</v>
      </c>
      <c r="GF300" s="396">
        <v>1943.9969124973686</v>
      </c>
      <c r="GG300" s="396">
        <v>43.385727317381232</v>
      </c>
      <c r="GH300" s="396">
        <v>8.4453722545786251E-3</v>
      </c>
      <c r="GI300" s="396">
        <v>1.0401305171566908</v>
      </c>
      <c r="GJ300" s="396">
        <v>0.98179776857764378</v>
      </c>
      <c r="GK300" s="396">
        <v>0</v>
      </c>
      <c r="GL300" s="396">
        <v>0</v>
      </c>
      <c r="GM300" s="396">
        <v>0</v>
      </c>
      <c r="GN300" s="396">
        <v>0</v>
      </c>
      <c r="GO300" s="396">
        <v>0</v>
      </c>
      <c r="GP300" s="396">
        <v>1413.7222546527607</v>
      </c>
      <c r="GQ300" s="396">
        <v>1.6648954996115997</v>
      </c>
      <c r="GR300" s="396">
        <v>3.8340404212190717E-3</v>
      </c>
      <c r="GS300" s="396">
        <v>1.5887736200295093</v>
      </c>
      <c r="GT300" s="396">
        <v>6.6668352033241562E-2</v>
      </c>
      <c r="GU300" s="396">
        <v>1744.4383122336665</v>
      </c>
      <c r="GV300" s="396">
        <v>41.400750639059488</v>
      </c>
      <c r="GW300" s="396">
        <v>0.77375388693552094</v>
      </c>
      <c r="GX300" s="396">
        <v>0.78681737790117479</v>
      </c>
      <c r="GY300" s="396"/>
      <c r="GZ300" s="396">
        <v>0</v>
      </c>
      <c r="HA300" s="396">
        <v>0</v>
      </c>
      <c r="HB300" s="396">
        <v>0</v>
      </c>
      <c r="HC300" s="396">
        <v>0</v>
      </c>
      <c r="HD300" s="487">
        <v>0</v>
      </c>
    </row>
    <row r="301" spans="1:212" ht="18.5" x14ac:dyDescent="0.45">
      <c r="A301" s="263"/>
      <c r="B301" s="488">
        <v>2031</v>
      </c>
      <c r="C301" s="396">
        <v>305.87653499750547</v>
      </c>
      <c r="D301" s="396">
        <v>1.2583609771468083</v>
      </c>
      <c r="E301" s="396">
        <v>2.7671180120961746E-3</v>
      </c>
      <c r="F301" s="396">
        <v>3.405038030301704E-2</v>
      </c>
      <c r="G301" s="396">
        <v>8.0403760142143163E-2</v>
      </c>
      <c r="H301" s="396">
        <v>301.15286142387475</v>
      </c>
      <c r="I301" s="396">
        <v>1.0997570626400162</v>
      </c>
      <c r="J301" s="396">
        <v>2.198990427977074E-3</v>
      </c>
      <c r="K301" s="396">
        <v>2.410484129062291E-2</v>
      </c>
      <c r="L301" s="396">
        <v>6.1027174071164654E-2</v>
      </c>
      <c r="M301" s="396">
        <v>299.81026610519996</v>
      </c>
      <c r="N301" s="396">
        <v>1.2508121702691082</v>
      </c>
      <c r="O301" s="396">
        <v>3.0099439670763918E-3</v>
      </c>
      <c r="P301" s="396">
        <v>3.4834255840459731E-2</v>
      </c>
      <c r="Q301" s="396">
        <v>9.4520068795599266E-2</v>
      </c>
      <c r="R301" s="396">
        <v>0</v>
      </c>
      <c r="S301" s="396">
        <v>0</v>
      </c>
      <c r="T301" s="396">
        <v>0</v>
      </c>
      <c r="U301" s="396">
        <v>0</v>
      </c>
      <c r="V301" s="396">
        <v>0</v>
      </c>
      <c r="W301" s="396">
        <v>386.43407477642216</v>
      </c>
      <c r="X301" s="396">
        <v>1.2872987154554925</v>
      </c>
      <c r="Y301" s="396">
        <v>3.7464322687384504E-3</v>
      </c>
      <c r="Z301" s="396">
        <v>4.3814803706247928E-2</v>
      </c>
      <c r="AA301" s="396">
        <v>8.7148104788903183E-2</v>
      </c>
      <c r="AB301" s="396">
        <v>468.16708620937396</v>
      </c>
      <c r="AC301" s="396">
        <v>0.72272395863823358</v>
      </c>
      <c r="AD301" s="396">
        <v>2.0713878969468289E-3</v>
      </c>
      <c r="AE301" s="396">
        <v>0.38872051005039837</v>
      </c>
      <c r="AF301" s="396">
        <v>5.5110482536202189E-2</v>
      </c>
      <c r="AG301" s="396">
        <v>375.28316391902285</v>
      </c>
      <c r="AH301" s="396">
        <v>1.2739489194499019</v>
      </c>
      <c r="AI301" s="396">
        <v>4.0345092679593408E-3</v>
      </c>
      <c r="AJ301" s="396">
        <v>4.4420603057999483E-2</v>
      </c>
      <c r="AK301" s="396">
        <v>0.10002323396258649</v>
      </c>
      <c r="AL301" s="396">
        <v>0</v>
      </c>
      <c r="AM301" s="396">
        <v>0</v>
      </c>
      <c r="AN301" s="396">
        <v>0</v>
      </c>
      <c r="AO301" s="396">
        <v>0</v>
      </c>
      <c r="AP301" s="396">
        <v>0</v>
      </c>
      <c r="AQ301" s="396">
        <v>422.00951654699099</v>
      </c>
      <c r="AR301" s="396">
        <v>1.2762179489391361</v>
      </c>
      <c r="AS301" s="396">
        <v>4.4309567269703353E-3</v>
      </c>
      <c r="AT301" s="396">
        <v>4.78832756520629E-2</v>
      </c>
      <c r="AU301" s="396">
        <v>9.6308628726997941E-2</v>
      </c>
      <c r="AV301" s="396">
        <v>479.16943630201916</v>
      </c>
      <c r="AW301" s="396">
        <v>0.70176203293051032</v>
      </c>
      <c r="AX301" s="396">
        <v>2.0427595375344617E-3</v>
      </c>
      <c r="AY301" s="396">
        <v>0.40713912105395067</v>
      </c>
      <c r="AZ301" s="396">
        <v>5.3771861957741716E-2</v>
      </c>
      <c r="BA301" s="396">
        <v>366.45833143315792</v>
      </c>
      <c r="BB301" s="396">
        <v>1.1866329499539399</v>
      </c>
      <c r="BC301" s="396">
        <v>3.9415718859165082E-3</v>
      </c>
      <c r="BD301" s="396">
        <v>4.3720984321272541E-2</v>
      </c>
      <c r="BE301" s="396">
        <v>9.7978821404792096E-2</v>
      </c>
      <c r="BF301" s="396">
        <v>0</v>
      </c>
      <c r="BG301" s="396">
        <v>0</v>
      </c>
      <c r="BH301" s="396">
        <v>0</v>
      </c>
      <c r="BI301" s="396">
        <v>0</v>
      </c>
      <c r="BJ301" s="396">
        <v>0</v>
      </c>
      <c r="BK301" s="396">
        <v>1492.9549770907195</v>
      </c>
      <c r="BL301" s="396">
        <v>17.1903436544494</v>
      </c>
      <c r="BM301" s="396">
        <v>1.3652544103794436E-2</v>
      </c>
      <c r="BN301" s="396">
        <v>0.18976292019400487</v>
      </c>
      <c r="BO301" s="396">
        <v>0.26593208610109348</v>
      </c>
      <c r="BP301" s="396">
        <v>1439.3083592951882</v>
      </c>
      <c r="BQ301" s="396">
        <v>2.1429717247958928</v>
      </c>
      <c r="BR301" s="396">
        <v>4.2836047719156051E-3</v>
      </c>
      <c r="BS301" s="396">
        <v>2.4381179132578539</v>
      </c>
      <c r="BT301" s="396">
        <v>9.3027025657911405E-2</v>
      </c>
      <c r="BU301" s="396">
        <v>2145.6718297821294</v>
      </c>
      <c r="BV301" s="396">
        <v>44.81324316624432</v>
      </c>
      <c r="BW301" s="396">
        <v>1.0097239507579733E-2</v>
      </c>
      <c r="BX301" s="396">
        <v>1.3486077581682685</v>
      </c>
      <c r="BY301" s="396">
        <v>1.2590529456748287</v>
      </c>
      <c r="BZ301" s="396">
        <v>0</v>
      </c>
      <c r="CA301" s="396">
        <v>0</v>
      </c>
      <c r="CB301" s="396">
        <v>0</v>
      </c>
      <c r="CC301" s="396">
        <v>0</v>
      </c>
      <c r="CD301" s="396">
        <v>0</v>
      </c>
      <c r="CE301" s="396">
        <v>1472.3163439997156</v>
      </c>
      <c r="CF301" s="396">
        <v>17.461912430340007</v>
      </c>
      <c r="CG301" s="396">
        <v>1.4238629609497636E-2</v>
      </c>
      <c r="CH301" s="396">
        <v>0.20361444559027478</v>
      </c>
      <c r="CI301" s="396">
        <v>0.28419143607536745</v>
      </c>
      <c r="CJ301" s="396">
        <v>1439.100570936544</v>
      </c>
      <c r="CK301" s="396">
        <v>1.6431126030935814</v>
      </c>
      <c r="CL301" s="396">
        <v>2.699716642139E-3</v>
      </c>
      <c r="CM301" s="396">
        <v>0.48955065127285924</v>
      </c>
      <c r="CN301" s="396">
        <v>8.7019283529507774E-2</v>
      </c>
      <c r="CO301" s="396">
        <v>2017.4635499306603</v>
      </c>
      <c r="CP301" s="396">
        <v>43.803300808335727</v>
      </c>
      <c r="CQ301" s="396">
        <v>9.083219849826964E-3</v>
      </c>
      <c r="CR301" s="396">
        <v>1.1960045476693195</v>
      </c>
      <c r="CS301" s="396">
        <v>1.0888869454404619</v>
      </c>
      <c r="CT301" s="396">
        <v>0</v>
      </c>
      <c r="CU301" s="396">
        <v>0</v>
      </c>
      <c r="CV301" s="396">
        <v>0</v>
      </c>
      <c r="CW301" s="396">
        <v>0</v>
      </c>
      <c r="CX301" s="396">
        <v>0</v>
      </c>
      <c r="CY301" s="396">
        <v>1192.2496775556899</v>
      </c>
      <c r="CZ301" s="396">
        <v>9.6325227897080161</v>
      </c>
      <c r="DA301" s="396">
        <v>1.3486333462068161E-2</v>
      </c>
      <c r="DB301" s="396">
        <v>0.19361378094190174</v>
      </c>
      <c r="DC301" s="396">
        <v>0.31066944539578673</v>
      </c>
      <c r="DD301" s="396">
        <v>1097.698421185793</v>
      </c>
      <c r="DE301" s="396">
        <v>0.80571690893583292</v>
      </c>
      <c r="DF301" s="396">
        <v>8.5357430703541307E-3</v>
      </c>
      <c r="DG301" s="396">
        <v>0.97750457107533084</v>
      </c>
      <c r="DH301" s="396">
        <v>8.5256749672004153E-2</v>
      </c>
      <c r="DI301" s="396">
        <v>1807.5504230948238</v>
      </c>
      <c r="DJ301" s="396">
        <v>39.484789514620125</v>
      </c>
      <c r="DK301" s="396">
        <v>8.8597524215892377E-3</v>
      </c>
      <c r="DL301" s="396">
        <v>1.048272479938527</v>
      </c>
      <c r="DM301" s="396">
        <v>1.0877332175510166</v>
      </c>
      <c r="DN301" s="396">
        <v>0</v>
      </c>
      <c r="DO301" s="396">
        <v>0</v>
      </c>
      <c r="DP301" s="396">
        <v>0</v>
      </c>
      <c r="DQ301" s="396">
        <v>0</v>
      </c>
      <c r="DR301" s="396">
        <v>0</v>
      </c>
      <c r="DS301" s="396">
        <v>1684.3123146603891</v>
      </c>
      <c r="DT301" s="396">
        <v>26.761355365438764</v>
      </c>
      <c r="DU301" s="396">
        <v>6.6475209722297313E-3</v>
      </c>
      <c r="DV301" s="396">
        <v>0.11131356654757794</v>
      </c>
      <c r="DW301" s="396">
        <v>0.20406967313683003</v>
      </c>
      <c r="DX301" s="396">
        <v>1511.2769485903814</v>
      </c>
      <c r="DY301" s="396">
        <v>1.9958066808813077</v>
      </c>
      <c r="DZ301" s="396">
        <v>5.8655362642569472E-3</v>
      </c>
      <c r="EA301" s="396">
        <v>2.5058516939113953</v>
      </c>
      <c r="EB301" s="396">
        <v>8.4349680170575689E-2</v>
      </c>
      <c r="EC301" s="396">
        <v>2257.719214989897</v>
      </c>
      <c r="ED301" s="396">
        <v>45.986161288347319</v>
      </c>
      <c r="EE301" s="396">
        <v>1.0018216888126876E-2</v>
      </c>
      <c r="EF301" s="396">
        <v>1.5283012369113955</v>
      </c>
      <c r="EG301" s="396">
        <v>1.3052783050639889</v>
      </c>
      <c r="EH301" s="396">
        <v>0</v>
      </c>
      <c r="EI301" s="396">
        <v>0</v>
      </c>
      <c r="EJ301" s="396">
        <v>0</v>
      </c>
      <c r="EK301" s="396">
        <v>0</v>
      </c>
      <c r="EL301" s="396">
        <v>0</v>
      </c>
      <c r="EM301" s="396">
        <v>989.39814003266008</v>
      </c>
      <c r="EN301" s="396">
        <v>4.6964405982156858</v>
      </c>
      <c r="EO301" s="396">
        <v>1.8873801769552265E-2</v>
      </c>
      <c r="EP301" s="396">
        <v>0.27893513179381668</v>
      </c>
      <c r="EQ301" s="396">
        <v>0.32471468506951812</v>
      </c>
      <c r="ER301" s="396">
        <v>785.60753703385808</v>
      </c>
      <c r="ES301" s="396">
        <v>0.91410770364835248</v>
      </c>
      <c r="ET301" s="396">
        <v>3.4283860609304155E-3</v>
      </c>
      <c r="EU301" s="396">
        <v>0.64889277095051046</v>
      </c>
      <c r="EV301" s="396">
        <v>0.1299880845391847</v>
      </c>
      <c r="EW301" s="396">
        <v>2101.7500310289188</v>
      </c>
      <c r="EX301" s="396">
        <v>42.307930991684252</v>
      </c>
      <c r="EY301" s="396">
        <v>9.9092093831450907E-3</v>
      </c>
      <c r="EZ301" s="396">
        <v>1.2834057341442224</v>
      </c>
      <c r="FA301" s="396">
        <v>1.2093049522154649</v>
      </c>
      <c r="FB301" s="396">
        <v>0</v>
      </c>
      <c r="FC301" s="396">
        <v>0</v>
      </c>
      <c r="FD301" s="396">
        <v>0</v>
      </c>
      <c r="FE301" s="396">
        <v>0</v>
      </c>
      <c r="FF301" s="396">
        <v>0</v>
      </c>
      <c r="FG301" s="396">
        <v>916.39956701741062</v>
      </c>
      <c r="FH301" s="396">
        <v>2.5269384054150938</v>
      </c>
      <c r="FI301" s="396">
        <v>7.8571579191531547E-3</v>
      </c>
      <c r="FJ301" s="396">
        <v>3.5144690691577225E-2</v>
      </c>
      <c r="FK301" s="396">
        <v>9.8889954944506531E-2</v>
      </c>
      <c r="FL301" s="396">
        <v>724.51802501807879</v>
      </c>
      <c r="FM301" s="396">
        <v>0.81021033034326784</v>
      </c>
      <c r="FN301" s="396">
        <v>2.9556106042189162E-3</v>
      </c>
      <c r="FO301" s="396">
        <v>0.49926145892634588</v>
      </c>
      <c r="FP301" s="396">
        <v>3.6073192497653589E-2</v>
      </c>
      <c r="FQ301" s="396">
        <v>1837.073753765794</v>
      </c>
      <c r="FR301" s="396">
        <v>39.607166023983829</v>
      </c>
      <c r="FS301" s="396">
        <v>8.8010166933636946E-3</v>
      </c>
      <c r="FT301" s="396">
        <v>1.1762041556584772</v>
      </c>
      <c r="FU301" s="396">
        <v>1.0888547637644133</v>
      </c>
      <c r="FV301" s="396">
        <v>0</v>
      </c>
      <c r="FW301" s="396">
        <v>0</v>
      </c>
      <c r="FX301" s="396">
        <v>0</v>
      </c>
      <c r="FY301" s="396">
        <v>0</v>
      </c>
      <c r="FZ301" s="396">
        <v>0</v>
      </c>
      <c r="GA301" s="396">
        <v>1447.2544862798961</v>
      </c>
      <c r="GB301" s="396">
        <v>1.528565883371652</v>
      </c>
      <c r="GC301" s="396">
        <v>6.0767370338299835E-3</v>
      </c>
      <c r="GD301" s="396">
        <v>1.7138753695022544</v>
      </c>
      <c r="GE301" s="396">
        <v>7.6132095189752461E-2</v>
      </c>
      <c r="GF301" s="396">
        <v>1944.0059664710268</v>
      </c>
      <c r="GG301" s="396">
        <v>43.385972307792088</v>
      </c>
      <c r="GH301" s="396">
        <v>8.4454100327507383E-3</v>
      </c>
      <c r="GI301" s="396">
        <v>1.0401374882454035</v>
      </c>
      <c r="GJ301" s="396">
        <v>0.9818022633678134</v>
      </c>
      <c r="GK301" s="396">
        <v>0</v>
      </c>
      <c r="GL301" s="396">
        <v>0</v>
      </c>
      <c r="GM301" s="396">
        <v>0</v>
      </c>
      <c r="GN301" s="396">
        <v>0</v>
      </c>
      <c r="GO301" s="396">
        <v>0</v>
      </c>
      <c r="GP301" s="396">
        <v>1413.7008352705959</v>
      </c>
      <c r="GQ301" s="396">
        <v>1.662959109843863</v>
      </c>
      <c r="GR301" s="396">
        <v>3.7860020464343665E-3</v>
      </c>
      <c r="GS301" s="396">
        <v>1.5811573913527444</v>
      </c>
      <c r="GT301" s="396">
        <v>6.6639694832967278E-2</v>
      </c>
      <c r="GU301" s="396">
        <v>1744.439235985026</v>
      </c>
      <c r="GV301" s="396">
        <v>41.400606088615696</v>
      </c>
      <c r="GW301" s="396">
        <v>0.77375464634927349</v>
      </c>
      <c r="GX301" s="396">
        <v>0.78681658226761642</v>
      </c>
      <c r="GY301" s="396"/>
      <c r="GZ301" s="396">
        <v>0</v>
      </c>
      <c r="HA301" s="396">
        <v>0</v>
      </c>
      <c r="HB301" s="396">
        <v>0</v>
      </c>
      <c r="HC301" s="396">
        <v>0</v>
      </c>
      <c r="HD301" s="487">
        <v>0</v>
      </c>
    </row>
    <row r="302" spans="1:212" ht="15.5" x14ac:dyDescent="0.35">
      <c r="A302" s="264"/>
      <c r="B302" s="488">
        <v>2032</v>
      </c>
      <c r="C302" s="396">
        <v>302.87078610484116</v>
      </c>
      <c r="D302" s="396">
        <v>1.2601390167781681</v>
      </c>
      <c r="E302" s="396">
        <v>2.7752996683480147E-3</v>
      </c>
      <c r="F302" s="396">
        <v>3.4093253693397114E-2</v>
      </c>
      <c r="G302" s="396">
        <v>7.9747634840570736E-2</v>
      </c>
      <c r="H302" s="396">
        <v>298.17632282966076</v>
      </c>
      <c r="I302" s="396">
        <v>1.1005439037174696</v>
      </c>
      <c r="J302" s="396">
        <v>2.2044914602351241E-3</v>
      </c>
      <c r="K302" s="396">
        <v>2.4094390099454736E-2</v>
      </c>
      <c r="L302" s="396">
        <v>6.1105506429500148E-2</v>
      </c>
      <c r="M302" s="396">
        <v>296.86480928131976</v>
      </c>
      <c r="N302" s="396">
        <v>1.2525512997307071</v>
      </c>
      <c r="O302" s="396">
        <v>3.0190631402052465E-3</v>
      </c>
      <c r="P302" s="396">
        <v>3.4878421502803215E-2</v>
      </c>
      <c r="Q302" s="396">
        <v>9.3499680244505834E-2</v>
      </c>
      <c r="R302" s="396">
        <v>0</v>
      </c>
      <c r="S302" s="396">
        <v>0</v>
      </c>
      <c r="T302" s="396">
        <v>0</v>
      </c>
      <c r="U302" s="396">
        <v>0</v>
      </c>
      <c r="V302" s="396">
        <v>0</v>
      </c>
      <c r="W302" s="396">
        <v>383.71823281993051</v>
      </c>
      <c r="X302" s="396">
        <v>1.2905456965124018</v>
      </c>
      <c r="Y302" s="396">
        <v>3.767619605760367E-3</v>
      </c>
      <c r="Z302" s="396">
        <v>4.3998498251011854E-2</v>
      </c>
      <c r="AA302" s="396">
        <v>8.6672282963695529E-2</v>
      </c>
      <c r="AB302" s="396">
        <v>467.92579063046929</v>
      </c>
      <c r="AC302" s="396">
        <v>0.72392801904839432</v>
      </c>
      <c r="AD302" s="396">
        <v>2.0763462086369005E-3</v>
      </c>
      <c r="AE302" s="396">
        <v>0.38987265456469533</v>
      </c>
      <c r="AF302" s="396">
        <v>5.5429479221783547E-2</v>
      </c>
      <c r="AG302" s="396">
        <v>372.65166560618042</v>
      </c>
      <c r="AH302" s="396">
        <v>1.2771725507587297</v>
      </c>
      <c r="AI302" s="396">
        <v>4.0591879888681077E-3</v>
      </c>
      <c r="AJ302" s="396">
        <v>4.4612086972729441E-2</v>
      </c>
      <c r="AK302" s="396">
        <v>9.9237413955999471E-2</v>
      </c>
      <c r="AL302" s="396">
        <v>0</v>
      </c>
      <c r="AM302" s="396">
        <v>0</v>
      </c>
      <c r="AN302" s="396">
        <v>0</v>
      </c>
      <c r="AO302" s="396">
        <v>0</v>
      </c>
      <c r="AP302" s="396">
        <v>0</v>
      </c>
      <c r="AQ302" s="396">
        <v>419.09231240189405</v>
      </c>
      <c r="AR302" s="396">
        <v>1.2789758553535722</v>
      </c>
      <c r="AS302" s="396">
        <v>4.4413904502615077E-3</v>
      </c>
      <c r="AT302" s="396">
        <v>4.8036904118332863E-2</v>
      </c>
      <c r="AU302" s="396">
        <v>9.5757915236463834E-2</v>
      </c>
      <c r="AV302" s="396">
        <v>479.14251584086423</v>
      </c>
      <c r="AW302" s="396">
        <v>0.70258647553755071</v>
      </c>
      <c r="AX302" s="396">
        <v>2.0464319102524147E-3</v>
      </c>
      <c r="AY302" s="396">
        <v>0.40862262387036458</v>
      </c>
      <c r="AZ302" s="396">
        <v>5.4077074893528622E-2</v>
      </c>
      <c r="BA302" s="396">
        <v>363.88685889628238</v>
      </c>
      <c r="BB302" s="396">
        <v>1.1898107192156961</v>
      </c>
      <c r="BC302" s="396">
        <v>3.9659751870798456E-3</v>
      </c>
      <c r="BD302" s="396">
        <v>4.3911090597501617E-2</v>
      </c>
      <c r="BE302" s="396">
        <v>9.7226816416016007E-2</v>
      </c>
      <c r="BF302" s="396">
        <v>0</v>
      </c>
      <c r="BG302" s="396">
        <v>0</v>
      </c>
      <c r="BH302" s="396">
        <v>0</v>
      </c>
      <c r="BI302" s="396">
        <v>0</v>
      </c>
      <c r="BJ302" s="396">
        <v>0</v>
      </c>
      <c r="BK302" s="396">
        <v>1492.9685405569219</v>
      </c>
      <c r="BL302" s="396">
        <v>17.190505052859791</v>
      </c>
      <c r="BM302" s="396">
        <v>1.3652614432412901E-2</v>
      </c>
      <c r="BN302" s="396">
        <v>0.18976489923420325</v>
      </c>
      <c r="BO302" s="396">
        <v>0.26468942687631863</v>
      </c>
      <c r="BP302" s="396">
        <v>1439.2806296944805</v>
      </c>
      <c r="BQ302" s="396">
        <v>2.1423767366509021</v>
      </c>
      <c r="BR302" s="396">
        <v>4.2871426467459787E-3</v>
      </c>
      <c r="BS302" s="396">
        <v>2.437562388518876</v>
      </c>
      <c r="BT302" s="396">
        <v>9.3021486196795886E-2</v>
      </c>
      <c r="BU302" s="396">
        <v>2145.6726953169291</v>
      </c>
      <c r="BV302" s="396">
        <v>44.813187436217255</v>
      </c>
      <c r="BW302" s="396">
        <v>1.0097233246399818E-2</v>
      </c>
      <c r="BX302" s="396">
        <v>1.3486081188343351</v>
      </c>
      <c r="BY302" s="396">
        <v>1.2590500623653476</v>
      </c>
      <c r="BZ302" s="396">
        <v>0</v>
      </c>
      <c r="CA302" s="396">
        <v>0</v>
      </c>
      <c r="CB302" s="396">
        <v>0</v>
      </c>
      <c r="CC302" s="396">
        <v>0</v>
      </c>
      <c r="CD302" s="396">
        <v>0</v>
      </c>
      <c r="CE302" s="396">
        <v>1472.326004059142</v>
      </c>
      <c r="CF302" s="396">
        <v>17.462023882410225</v>
      </c>
      <c r="CG302" s="396">
        <v>1.4238718043898511E-2</v>
      </c>
      <c r="CH302" s="396">
        <v>0.2036151432028655</v>
      </c>
      <c r="CI302" s="396">
        <v>0.28274045113361906</v>
      </c>
      <c r="CJ302" s="396">
        <v>1439.0663197762719</v>
      </c>
      <c r="CK302" s="396">
        <v>1.6427281612011575</v>
      </c>
      <c r="CL302" s="396">
        <v>2.7040719914883712E-3</v>
      </c>
      <c r="CM302" s="396">
        <v>0.48984641707523746</v>
      </c>
      <c r="CN302" s="396">
        <v>8.7016246274131862E-2</v>
      </c>
      <c r="CO302" s="396">
        <v>2017.4601425231619</v>
      </c>
      <c r="CP302" s="396">
        <v>43.803009447611366</v>
      </c>
      <c r="CQ302" s="396">
        <v>9.0831900988845304E-3</v>
      </c>
      <c r="CR302" s="396">
        <v>1.196003348520484</v>
      </c>
      <c r="CS302" s="396">
        <v>1.0888835216680697</v>
      </c>
      <c r="CT302" s="396">
        <v>0</v>
      </c>
      <c r="CU302" s="396">
        <v>0</v>
      </c>
      <c r="CV302" s="396">
        <v>0</v>
      </c>
      <c r="CW302" s="396">
        <v>0</v>
      </c>
      <c r="CX302" s="396">
        <v>0</v>
      </c>
      <c r="CY302" s="396">
        <v>1192.1578246548461</v>
      </c>
      <c r="CZ302" s="396">
        <v>9.6297568154741047</v>
      </c>
      <c r="DA302" s="396">
        <v>1.3488892003644264E-2</v>
      </c>
      <c r="DB302" s="396">
        <v>0.19360922279066509</v>
      </c>
      <c r="DC302" s="396">
        <v>0.30904338075548388</v>
      </c>
      <c r="DD302" s="396">
        <v>1097.6499118497509</v>
      </c>
      <c r="DE302" s="396">
        <v>0.80487447053424321</v>
      </c>
      <c r="DF302" s="396">
        <v>8.5396776434416479E-3</v>
      </c>
      <c r="DG302" s="396">
        <v>0.9768953557483242</v>
      </c>
      <c r="DH302" s="396">
        <v>8.5250444512991796E-2</v>
      </c>
      <c r="DI302" s="396">
        <v>1807.550400424223</v>
      </c>
      <c r="DJ302" s="396">
        <v>39.484671434914695</v>
      </c>
      <c r="DK302" s="396">
        <v>8.8597732579869231E-3</v>
      </c>
      <c r="DL302" s="396">
        <v>1.048271323747856</v>
      </c>
      <c r="DM302" s="396">
        <v>1.0877323562577665</v>
      </c>
      <c r="DN302" s="396">
        <v>0</v>
      </c>
      <c r="DO302" s="396">
        <v>0</v>
      </c>
      <c r="DP302" s="396">
        <v>0</v>
      </c>
      <c r="DQ302" s="396">
        <v>0</v>
      </c>
      <c r="DR302" s="396">
        <v>0</v>
      </c>
      <c r="DS302" s="396">
        <v>1684.3185406749612</v>
      </c>
      <c r="DT302" s="396">
        <v>26.761521242381569</v>
      </c>
      <c r="DU302" s="396">
        <v>6.6475405702137239E-3</v>
      </c>
      <c r="DV302" s="396">
        <v>0.1113142693094044</v>
      </c>
      <c r="DW302" s="396">
        <v>0.20218417693772964</v>
      </c>
      <c r="DX302" s="396">
        <v>1511.1208718457974</v>
      </c>
      <c r="DY302" s="396">
        <v>1.9929754538741629</v>
      </c>
      <c r="DZ302" s="396">
        <v>5.8836859929213454E-3</v>
      </c>
      <c r="EA302" s="396">
        <v>2.5029600488885491</v>
      </c>
      <c r="EB302" s="396">
        <v>8.4316833447915865E-2</v>
      </c>
      <c r="EC302" s="396">
        <v>2257.717662545183</v>
      </c>
      <c r="ED302" s="396">
        <v>45.986041158520486</v>
      </c>
      <c r="EE302" s="396">
        <v>1.0018231668901631E-2</v>
      </c>
      <c r="EF302" s="396">
        <v>1.5282995625103388</v>
      </c>
      <c r="EG302" s="396">
        <v>1.3052748652862689</v>
      </c>
      <c r="EH302" s="396">
        <v>0</v>
      </c>
      <c r="EI302" s="396">
        <v>0</v>
      </c>
      <c r="EJ302" s="396">
        <v>0</v>
      </c>
      <c r="EK302" s="396">
        <v>0</v>
      </c>
      <c r="EL302" s="396">
        <v>0</v>
      </c>
      <c r="EM302" s="396">
        <v>989.33566159363841</v>
      </c>
      <c r="EN302" s="396">
        <v>4.6950275261014358</v>
      </c>
      <c r="EO302" s="396">
        <v>1.8873965483889518E-2</v>
      </c>
      <c r="EP302" s="396">
        <v>0.27892070496097204</v>
      </c>
      <c r="EQ302" s="396">
        <v>0.32096950432104893</v>
      </c>
      <c r="ER302" s="396">
        <v>784.64769121910024</v>
      </c>
      <c r="ES302" s="396">
        <v>0.91233251923033021</v>
      </c>
      <c r="ET302" s="396">
        <v>3.4232589988815597E-3</v>
      </c>
      <c r="EU302" s="396">
        <v>0.6460432311519938</v>
      </c>
      <c r="EV302" s="396">
        <v>0.12994179543950149</v>
      </c>
      <c r="EW302" s="396">
        <v>2101.7485135629026</v>
      </c>
      <c r="EX302" s="396">
        <v>42.307966589707704</v>
      </c>
      <c r="EY302" s="396">
        <v>9.9092315097922094E-3</v>
      </c>
      <c r="EZ302" s="396">
        <v>1.2834058352127364</v>
      </c>
      <c r="FA302" s="396">
        <v>1.209306834490689</v>
      </c>
      <c r="FB302" s="396">
        <v>0</v>
      </c>
      <c r="FC302" s="396">
        <v>0</v>
      </c>
      <c r="FD302" s="396">
        <v>0</v>
      </c>
      <c r="FE302" s="396">
        <v>0</v>
      </c>
      <c r="FF302" s="396">
        <v>0</v>
      </c>
      <c r="FG302" s="396">
        <v>916.34517798249487</v>
      </c>
      <c r="FH302" s="396">
        <v>2.5256734842596948</v>
      </c>
      <c r="FI302" s="396">
        <v>7.8577516173474089E-3</v>
      </c>
      <c r="FJ302" s="396">
        <v>3.5140967640541504E-2</v>
      </c>
      <c r="FK302" s="396">
        <v>9.5963707615489627E-2</v>
      </c>
      <c r="FL302" s="396">
        <v>723.65178089860797</v>
      </c>
      <c r="FM302" s="396">
        <v>0.80876760587420027</v>
      </c>
      <c r="FN302" s="396">
        <v>2.9515740317195894E-3</v>
      </c>
      <c r="FO302" s="396">
        <v>0.49670719801189323</v>
      </c>
      <c r="FP302" s="396">
        <v>3.6031637662062792E-2</v>
      </c>
      <c r="FQ302" s="396">
        <v>1837.0747851532881</v>
      </c>
      <c r="FR302" s="396">
        <v>39.607285040802964</v>
      </c>
      <c r="FS302" s="396">
        <v>8.801024531769985E-3</v>
      </c>
      <c r="FT302" s="396">
        <v>1.1762051329908227</v>
      </c>
      <c r="FU302" s="396">
        <v>1.0888566338765395</v>
      </c>
      <c r="FV302" s="396">
        <v>0</v>
      </c>
      <c r="FW302" s="396">
        <v>0</v>
      </c>
      <c r="FX302" s="396">
        <v>0</v>
      </c>
      <c r="FY302" s="396">
        <v>0</v>
      </c>
      <c r="FZ302" s="396">
        <v>0</v>
      </c>
      <c r="GA302" s="396">
        <v>1447.0385492337875</v>
      </c>
      <c r="GB302" s="396">
        <v>1.525467946338618</v>
      </c>
      <c r="GC302" s="396">
        <v>6.0978312741926935E-3</v>
      </c>
      <c r="GD302" s="396">
        <v>1.7108012089718436</v>
      </c>
      <c r="GE302" s="396">
        <v>7.6088870035526807E-2</v>
      </c>
      <c r="GF302" s="396">
        <v>1944.0025379978656</v>
      </c>
      <c r="GG302" s="396">
        <v>43.385862198252248</v>
      </c>
      <c r="GH302" s="396">
        <v>8.4454186254434276E-3</v>
      </c>
      <c r="GI302" s="396">
        <v>1.0401349753410434</v>
      </c>
      <c r="GJ302" s="396">
        <v>0.98180140166700325</v>
      </c>
      <c r="GK302" s="396">
        <v>0</v>
      </c>
      <c r="GL302" s="396">
        <v>0</v>
      </c>
      <c r="GM302" s="396">
        <v>0</v>
      </c>
      <c r="GN302" s="396">
        <v>0</v>
      </c>
      <c r="GO302" s="396">
        <v>0</v>
      </c>
      <c r="GP302" s="396">
        <v>1413.6806795221376</v>
      </c>
      <c r="GQ302" s="396">
        <v>1.662463463915099</v>
      </c>
      <c r="GR302" s="396">
        <v>3.7901131883006059E-3</v>
      </c>
      <c r="GS302" s="396">
        <v>1.5806893304823744</v>
      </c>
      <c r="GT302" s="396">
        <v>6.6633187515938566E-2</v>
      </c>
      <c r="GU302" s="396">
        <v>1744.4416923203944</v>
      </c>
      <c r="GV302" s="396">
        <v>41.400634561173824</v>
      </c>
      <c r="GW302" s="396">
        <v>0.77375417241664024</v>
      </c>
      <c r="GX302" s="396">
        <v>0.78681693263979802</v>
      </c>
      <c r="GY302" s="396"/>
      <c r="GZ302" s="396">
        <v>0</v>
      </c>
      <c r="HA302" s="396">
        <v>0</v>
      </c>
      <c r="HB302" s="396">
        <v>0</v>
      </c>
      <c r="HC302" s="396">
        <v>0</v>
      </c>
      <c r="HD302" s="487">
        <v>0</v>
      </c>
    </row>
    <row r="303" spans="1:212" x14ac:dyDescent="0.35">
      <c r="B303" s="488">
        <v>2033</v>
      </c>
      <c r="C303" s="396">
        <v>270.43846190241231</v>
      </c>
      <c r="D303" s="396">
        <v>1.1190477799782359</v>
      </c>
      <c r="E303" s="396">
        <v>2.4410033187111779E-3</v>
      </c>
      <c r="F303" s="396">
        <v>3.0552893226720022E-2</v>
      </c>
      <c r="G303" s="396">
        <v>7.2132964737848859E-2</v>
      </c>
      <c r="H303" s="396">
        <v>266.02255991049105</v>
      </c>
      <c r="I303" s="396">
        <v>0.95320759456096082</v>
      </c>
      <c r="J303" s="396">
        <v>1.9385139686490314E-3</v>
      </c>
      <c r="K303" s="396">
        <v>2.0300094760757628E-2</v>
      </c>
      <c r="L303" s="396">
        <v>5.694584936464625E-2</v>
      </c>
      <c r="M303" s="396">
        <v>265.07561486408264</v>
      </c>
      <c r="N303" s="396">
        <v>1.111852906199682</v>
      </c>
      <c r="O303" s="396">
        <v>2.6555182538596732E-3</v>
      </c>
      <c r="P303" s="396">
        <v>3.1265720209216911E-2</v>
      </c>
      <c r="Q303" s="396">
        <v>8.4143768219656703E-2</v>
      </c>
      <c r="R303" s="396">
        <v>0</v>
      </c>
      <c r="S303" s="396">
        <v>0</v>
      </c>
      <c r="T303" s="396">
        <v>0</v>
      </c>
      <c r="U303" s="396">
        <v>0</v>
      </c>
      <c r="V303" s="396">
        <v>0</v>
      </c>
      <c r="W303" s="396">
        <v>343.4369830688301</v>
      </c>
      <c r="X303" s="396">
        <v>1.1709658789495827</v>
      </c>
      <c r="Y303" s="396">
        <v>3.4892216992842341E-3</v>
      </c>
      <c r="Z303" s="396">
        <v>3.8593868820671763E-2</v>
      </c>
      <c r="AA303" s="396">
        <v>7.8912736138731593E-2</v>
      </c>
      <c r="AB303" s="396">
        <v>464.18610993806311</v>
      </c>
      <c r="AC303" s="396">
        <v>0.71308637739301806</v>
      </c>
      <c r="AD303" s="396">
        <v>2.059370161176802E-3</v>
      </c>
      <c r="AE303" s="396">
        <v>0.39024119334177931</v>
      </c>
      <c r="AF303" s="396">
        <v>5.5218670819256757E-2</v>
      </c>
      <c r="AG303" s="396">
        <v>332.84198032582447</v>
      </c>
      <c r="AH303" s="396">
        <v>1.1567507254065967</v>
      </c>
      <c r="AI303" s="396">
        <v>3.7548029984384272E-3</v>
      </c>
      <c r="AJ303" s="396">
        <v>3.908799776840044E-2</v>
      </c>
      <c r="AK303" s="396">
        <v>8.9988158301358923E-2</v>
      </c>
      <c r="AL303" s="396">
        <v>0</v>
      </c>
      <c r="AM303" s="396">
        <v>0</v>
      </c>
      <c r="AN303" s="396">
        <v>0</v>
      </c>
      <c r="AO303" s="396">
        <v>0</v>
      </c>
      <c r="AP303" s="396">
        <v>0</v>
      </c>
      <c r="AQ303" s="396">
        <v>383.73473376350779</v>
      </c>
      <c r="AR303" s="396">
        <v>1.1822523832426557</v>
      </c>
      <c r="AS303" s="396">
        <v>4.1664558422458775E-3</v>
      </c>
      <c r="AT303" s="396">
        <v>4.2807180448096879E-2</v>
      </c>
      <c r="AU303" s="396">
        <v>8.7590457577029684E-2</v>
      </c>
      <c r="AV303" s="396">
        <v>477.7270284793122</v>
      </c>
      <c r="AW303" s="396">
        <v>0.69896113200788113</v>
      </c>
      <c r="AX303" s="396">
        <v>2.0410979759985671E-3</v>
      </c>
      <c r="AY303" s="396">
        <v>0.40960728998746193</v>
      </c>
      <c r="AZ303" s="396">
        <v>5.4135321511732039E-2</v>
      </c>
      <c r="BA303" s="396">
        <v>325.03307177935233</v>
      </c>
      <c r="BB303" s="396">
        <v>1.0799249768950583</v>
      </c>
      <c r="BC303" s="396">
        <v>3.6688019861189137E-3</v>
      </c>
      <c r="BD303" s="396">
        <v>3.8490205316854827E-2</v>
      </c>
      <c r="BE303" s="396">
        <v>8.8149792508562419E-2</v>
      </c>
      <c r="BF303" s="396">
        <v>0</v>
      </c>
      <c r="BG303" s="396">
        <v>0</v>
      </c>
      <c r="BH303" s="396">
        <v>0</v>
      </c>
      <c r="BI303" s="396">
        <v>0</v>
      </c>
      <c r="BJ303" s="396">
        <v>0</v>
      </c>
      <c r="BK303" s="396">
        <v>1492.9520318435245</v>
      </c>
      <c r="BL303" s="396">
        <v>16.929394399401186</v>
      </c>
      <c r="BM303" s="396">
        <v>1.2960902139924029E-2</v>
      </c>
      <c r="BN303" s="396">
        <v>0.17648531993927905</v>
      </c>
      <c r="BO303" s="396">
        <v>0.26235230746629917</v>
      </c>
      <c r="BP303" s="396">
        <v>1439.254328824881</v>
      </c>
      <c r="BQ303" s="396">
        <v>2.1377091377091375</v>
      </c>
      <c r="BR303" s="396">
        <v>4.1560035056967572E-3</v>
      </c>
      <c r="BS303" s="396">
        <v>2.4076635794427204</v>
      </c>
      <c r="BT303" s="396">
        <v>9.2928599063568373E-2</v>
      </c>
      <c r="BU303" s="396">
        <v>2145.6796094296337</v>
      </c>
      <c r="BV303" s="396">
        <v>44.813309195004145</v>
      </c>
      <c r="BW303" s="396">
        <v>1.0097250452593671E-2</v>
      </c>
      <c r="BX303" s="396">
        <v>1.3486115014345748</v>
      </c>
      <c r="BY303" s="396">
        <v>1.2590600430045684</v>
      </c>
      <c r="BZ303" s="396">
        <v>0</v>
      </c>
      <c r="CA303" s="396">
        <v>0</v>
      </c>
      <c r="CB303" s="396">
        <v>0</v>
      </c>
      <c r="CC303" s="396">
        <v>0</v>
      </c>
      <c r="CD303" s="396">
        <v>0</v>
      </c>
      <c r="CE303" s="396">
        <v>1472.3198028360707</v>
      </c>
      <c r="CF303" s="396">
        <v>17.176665869673172</v>
      </c>
      <c r="CG303" s="396">
        <v>1.3482784940501369E-2</v>
      </c>
      <c r="CH303" s="396">
        <v>0.18910356623935554</v>
      </c>
      <c r="CI303" s="396">
        <v>0.27897408544996416</v>
      </c>
      <c r="CJ303" s="396">
        <v>1439.0384405798004</v>
      </c>
      <c r="CK303" s="396">
        <v>1.6385459320037159</v>
      </c>
      <c r="CL303" s="396">
        <v>2.571784811637526E-3</v>
      </c>
      <c r="CM303" s="396">
        <v>0.4636794386751571</v>
      </c>
      <c r="CN303" s="396">
        <v>8.6936586277226807E-2</v>
      </c>
      <c r="CO303" s="396">
        <v>2017.462390349935</v>
      </c>
      <c r="CP303" s="396">
        <v>43.803321505588826</v>
      </c>
      <c r="CQ303" s="396">
        <v>9.0832352461058651E-3</v>
      </c>
      <c r="CR303" s="396">
        <v>1.1960040552266891</v>
      </c>
      <c r="CS303" s="396">
        <v>1.0888863591453095</v>
      </c>
      <c r="CT303" s="396">
        <v>0</v>
      </c>
      <c r="CU303" s="396">
        <v>0</v>
      </c>
      <c r="CV303" s="396">
        <v>0</v>
      </c>
      <c r="CW303" s="396">
        <v>0</v>
      </c>
      <c r="CX303" s="396">
        <v>0</v>
      </c>
      <c r="CY303" s="396">
        <v>1192.3467910784373</v>
      </c>
      <c r="CZ303" s="396">
        <v>9.2986353752213216</v>
      </c>
      <c r="DA303" s="396">
        <v>1.2488841314402279E-2</v>
      </c>
      <c r="DB303" s="396">
        <v>0.17823534559947218</v>
      </c>
      <c r="DC303" s="396">
        <v>0.30480143262038928</v>
      </c>
      <c r="DD303" s="396">
        <v>1097.5740864728143</v>
      </c>
      <c r="DE303" s="396">
        <v>0.71187087391920978</v>
      </c>
      <c r="DF303" s="396">
        <v>5.7991308083098761E-3</v>
      </c>
      <c r="DG303" s="396">
        <v>0.39873148888072973</v>
      </c>
      <c r="DH303" s="396">
        <v>8.3449601520485514E-2</v>
      </c>
      <c r="DI303" s="396">
        <v>1807.5543073673987</v>
      </c>
      <c r="DJ303" s="396">
        <v>39.484707032560458</v>
      </c>
      <c r="DK303" s="396">
        <v>8.8597609485377982E-3</v>
      </c>
      <c r="DL303" s="396">
        <v>1.048273570467783</v>
      </c>
      <c r="DM303" s="396">
        <v>1.0877352733500112</v>
      </c>
      <c r="DN303" s="396">
        <v>0</v>
      </c>
      <c r="DO303" s="396">
        <v>0</v>
      </c>
      <c r="DP303" s="396">
        <v>0</v>
      </c>
      <c r="DQ303" s="396">
        <v>0</v>
      </c>
      <c r="DR303" s="396">
        <v>0</v>
      </c>
      <c r="DS303" s="396">
        <v>1684.3106376633436</v>
      </c>
      <c r="DT303" s="396">
        <v>26.630491313187154</v>
      </c>
      <c r="DU303" s="396">
        <v>6.2757449346625103E-3</v>
      </c>
      <c r="DV303" s="396">
        <v>0.10667704404688734</v>
      </c>
      <c r="DW303" s="396">
        <v>0.19936244576424678</v>
      </c>
      <c r="DX303" s="396">
        <v>1510.9541741358773</v>
      </c>
      <c r="DY303" s="396">
        <v>1.9635191713086058</v>
      </c>
      <c r="DZ303" s="396">
        <v>5.0310097570952488E-3</v>
      </c>
      <c r="EA303" s="396">
        <v>2.296289055450619</v>
      </c>
      <c r="EB303" s="396">
        <v>8.3712508572047303E-2</v>
      </c>
      <c r="EC303" s="396">
        <v>2257.7093351652543</v>
      </c>
      <c r="ED303" s="396">
        <v>45.985993435615605</v>
      </c>
      <c r="EE303" s="396">
        <v>1.001819199552197E-2</v>
      </c>
      <c r="EF303" s="396">
        <v>1.5282961860417779</v>
      </c>
      <c r="EG303" s="396">
        <v>1.3052724982825736</v>
      </c>
      <c r="EH303" s="396">
        <v>0</v>
      </c>
      <c r="EI303" s="396">
        <v>0</v>
      </c>
      <c r="EJ303" s="396">
        <v>0</v>
      </c>
      <c r="EK303" s="396">
        <v>0</v>
      </c>
      <c r="EL303" s="396">
        <v>0</v>
      </c>
      <c r="EM303" s="396">
        <v>989.42337899717256</v>
      </c>
      <c r="EN303" s="396">
        <v>4.3951619812838549</v>
      </c>
      <c r="EO303" s="396">
        <v>1.7683234484925221E-2</v>
      </c>
      <c r="EP303" s="396">
        <v>0.25498129337509401</v>
      </c>
      <c r="EQ303" s="396">
        <v>0.31043667831269101</v>
      </c>
      <c r="ER303" s="396">
        <v>784.31794837811867</v>
      </c>
      <c r="ES303" s="396">
        <v>0.88389218382426038</v>
      </c>
      <c r="ET303" s="396">
        <v>2.8932689440376393E-3</v>
      </c>
      <c r="EU303" s="396">
        <v>0.49537788674994199</v>
      </c>
      <c r="EV303" s="396">
        <v>0.12939100758755509</v>
      </c>
      <c r="EW303" s="396">
        <v>2101.7584741613955</v>
      </c>
      <c r="EX303" s="396">
        <v>42.308144202714089</v>
      </c>
      <c r="EY303" s="396">
        <v>9.909236884876731E-3</v>
      </c>
      <c r="EZ303" s="396">
        <v>1.2834119881724011</v>
      </c>
      <c r="FA303" s="396">
        <v>1.2093132551354102</v>
      </c>
      <c r="FB303" s="396">
        <v>0</v>
      </c>
      <c r="FC303" s="396">
        <v>0</v>
      </c>
      <c r="FD303" s="396">
        <v>0</v>
      </c>
      <c r="FE303" s="396">
        <v>0</v>
      </c>
      <c r="FF303" s="396">
        <v>0</v>
      </c>
      <c r="FG303" s="396">
        <v>916.43022558161704</v>
      </c>
      <c r="FH303" s="396">
        <v>2.4996495438462705</v>
      </c>
      <c r="FI303" s="396">
        <v>7.760585177667252E-3</v>
      </c>
      <c r="FJ303" s="396">
        <v>3.33414171886127E-2</v>
      </c>
      <c r="FK303" s="396">
        <v>9.1079769427887342E-2</v>
      </c>
      <c r="FL303" s="396">
        <v>723.35014545432364</v>
      </c>
      <c r="FM303" s="396">
        <v>0.78242838585342356</v>
      </c>
      <c r="FN303" s="396">
        <v>2.4939104342894085E-3</v>
      </c>
      <c r="FO303" s="396">
        <v>0.36175557574907458</v>
      </c>
      <c r="FP303" s="396">
        <v>3.5555379370490768E-2</v>
      </c>
      <c r="FQ303" s="396">
        <v>1837.0739457585969</v>
      </c>
      <c r="FR303" s="396">
        <v>39.607239299714678</v>
      </c>
      <c r="FS303" s="396">
        <v>8.801028830613478E-3</v>
      </c>
      <c r="FT303" s="396">
        <v>1.1762059852682298</v>
      </c>
      <c r="FU303" s="396">
        <v>1.088856305408137</v>
      </c>
      <c r="FV303" s="396">
        <v>0</v>
      </c>
      <c r="FW303" s="396">
        <v>0</v>
      </c>
      <c r="FX303" s="396">
        <v>0</v>
      </c>
      <c r="FY303" s="396">
        <v>0</v>
      </c>
      <c r="FZ303" s="396">
        <v>0</v>
      </c>
      <c r="GA303" s="396">
        <v>1446.8135112013613</v>
      </c>
      <c r="GB303" s="396">
        <v>1.4863966682648468</v>
      </c>
      <c r="GC303" s="396">
        <v>4.9132282294986418E-3</v>
      </c>
      <c r="GD303" s="396">
        <v>1.4842767295597483</v>
      </c>
      <c r="GE303" s="396">
        <v>7.5402130279869514E-2</v>
      </c>
      <c r="GF303" s="396">
        <v>1943.995473572473</v>
      </c>
      <c r="GG303" s="396">
        <v>43.385757776041977</v>
      </c>
      <c r="GH303" s="396">
        <v>8.4453924572893534E-3</v>
      </c>
      <c r="GI303" s="396">
        <v>1.0401319874221393</v>
      </c>
      <c r="GJ303" s="396">
        <v>0.98179915479981572</v>
      </c>
      <c r="GK303" s="396">
        <v>0</v>
      </c>
      <c r="GL303" s="396">
        <v>0</v>
      </c>
      <c r="GM303" s="396">
        <v>0</v>
      </c>
      <c r="GN303" s="396">
        <v>0</v>
      </c>
      <c r="GO303" s="396">
        <v>0</v>
      </c>
      <c r="GP303" s="396">
        <v>1413.654747613331</v>
      </c>
      <c r="GQ303" s="396">
        <v>1.6575058594866516</v>
      </c>
      <c r="GR303" s="396">
        <v>3.6316669524952836E-3</v>
      </c>
      <c r="GS303" s="396">
        <v>1.5580089178528556</v>
      </c>
      <c r="GT303" s="396">
        <v>6.6558766363688335E-2</v>
      </c>
      <c r="GU303" s="396">
        <v>1744.4353435036346</v>
      </c>
      <c r="GV303" s="396">
        <v>41.400634790621474</v>
      </c>
      <c r="GW303" s="396">
        <v>0.77375447936930475</v>
      </c>
      <c r="GX303" s="396">
        <v>0.78681683219002763</v>
      </c>
      <c r="GY303" s="396"/>
      <c r="GZ303" s="396">
        <v>0</v>
      </c>
      <c r="HA303" s="396">
        <v>0</v>
      </c>
      <c r="HB303" s="396">
        <v>0</v>
      </c>
      <c r="HC303" s="396">
        <v>0</v>
      </c>
      <c r="HD303" s="487">
        <v>0</v>
      </c>
    </row>
    <row r="304" spans="1:212" x14ac:dyDescent="0.35">
      <c r="B304" s="488">
        <v>2034</v>
      </c>
      <c r="C304" s="396">
        <v>265.66511764778005</v>
      </c>
      <c r="D304" s="396">
        <v>1.119057836850301</v>
      </c>
      <c r="E304" s="396">
        <v>2.4410351042828942E-3</v>
      </c>
      <c r="F304" s="396">
        <v>3.0312174307539512E-2</v>
      </c>
      <c r="G304" s="396">
        <v>7.1218289049376507E-2</v>
      </c>
      <c r="H304" s="396">
        <v>261.30113706587565</v>
      </c>
      <c r="I304" s="396">
        <v>0.95320932723602347</v>
      </c>
      <c r="J304" s="396">
        <v>1.9385376756066409E-3</v>
      </c>
      <c r="K304" s="396">
        <v>2.0043309438470727E-2</v>
      </c>
      <c r="L304" s="396">
        <v>5.6624644666913859E-2</v>
      </c>
      <c r="M304" s="396">
        <v>260.39945256933265</v>
      </c>
      <c r="N304" s="396">
        <v>1.1118569807552108</v>
      </c>
      <c r="O304" s="396">
        <v>2.6555398718764059E-3</v>
      </c>
      <c r="P304" s="396">
        <v>3.1019798424287402E-2</v>
      </c>
      <c r="Q304" s="396">
        <v>8.282979177827865E-2</v>
      </c>
      <c r="R304" s="396">
        <v>0</v>
      </c>
      <c r="S304" s="396">
        <v>0</v>
      </c>
      <c r="T304" s="396">
        <v>0</v>
      </c>
      <c r="U304" s="396">
        <v>0</v>
      </c>
      <c r="V304" s="396">
        <v>0</v>
      </c>
      <c r="W304" s="396">
        <v>338.40891263119221</v>
      </c>
      <c r="X304" s="396">
        <v>1.1725779706288291</v>
      </c>
      <c r="Y304" s="396">
        <v>3.4991460714321175E-3</v>
      </c>
      <c r="Z304" s="396">
        <v>3.8414125567217086E-2</v>
      </c>
      <c r="AA304" s="396">
        <v>7.8084072246328615E-2</v>
      </c>
      <c r="AB304" s="396">
        <v>463.63904142733907</v>
      </c>
      <c r="AC304" s="396">
        <v>0.71375476025163587</v>
      </c>
      <c r="AD304" s="396">
        <v>2.0620358097161733E-3</v>
      </c>
      <c r="AE304" s="396">
        <v>0.39065728292200552</v>
      </c>
      <c r="AF304" s="396">
        <v>5.5358412758526376E-2</v>
      </c>
      <c r="AG304" s="396">
        <v>327.91599111504161</v>
      </c>
      <c r="AH304" s="396">
        <v>1.1583958461009358</v>
      </c>
      <c r="AI304" s="396">
        <v>3.7667207107966723E-3</v>
      </c>
      <c r="AJ304" s="396">
        <v>3.8905826164082113E-2</v>
      </c>
      <c r="AK304" s="396">
        <v>8.8852945663669664E-2</v>
      </c>
      <c r="AL304" s="396">
        <v>0</v>
      </c>
      <c r="AM304" s="396">
        <v>0</v>
      </c>
      <c r="AN304" s="396">
        <v>0</v>
      </c>
      <c r="AO304" s="396">
        <v>0</v>
      </c>
      <c r="AP304" s="396">
        <v>0</v>
      </c>
      <c r="AQ304" s="396">
        <v>378.85007833791951</v>
      </c>
      <c r="AR304" s="396">
        <v>1.1831685384382447</v>
      </c>
      <c r="AS304" s="396">
        <v>4.1677353099943389E-3</v>
      </c>
      <c r="AT304" s="396">
        <v>4.2623991152423213E-2</v>
      </c>
      <c r="AU304" s="396">
        <v>8.6723105078140433E-2</v>
      </c>
      <c r="AV304" s="396">
        <v>477.54080578071216</v>
      </c>
      <c r="AW304" s="396">
        <v>0.69939955073070315</v>
      </c>
      <c r="AX304" s="396">
        <v>2.0430393153340908E-3</v>
      </c>
      <c r="AY304" s="396">
        <v>0.41030628891603105</v>
      </c>
      <c r="AZ304" s="396">
        <v>5.428428667822581E-2</v>
      </c>
      <c r="BA304" s="396">
        <v>320.22688666763412</v>
      </c>
      <c r="BB304" s="396">
        <v>1.0815528676665158</v>
      </c>
      <c r="BC304" s="396">
        <v>3.6806173229421862E-3</v>
      </c>
      <c r="BD304" s="396">
        <v>3.8312349019641319E-2</v>
      </c>
      <c r="BE304" s="396">
        <v>8.7055168116362658E-2</v>
      </c>
      <c r="BF304" s="396">
        <v>0</v>
      </c>
      <c r="BG304" s="396">
        <v>0</v>
      </c>
      <c r="BH304" s="396">
        <v>0</v>
      </c>
      <c r="BI304" s="396">
        <v>0</v>
      </c>
      <c r="BJ304" s="396">
        <v>0</v>
      </c>
      <c r="BK304" s="396">
        <v>1492.9642947363895</v>
      </c>
      <c r="BL304" s="396">
        <v>16.929363454106667</v>
      </c>
      <c r="BM304" s="396">
        <v>1.2960922005256623E-2</v>
      </c>
      <c r="BN304" s="396">
        <v>0.17648521104428358</v>
      </c>
      <c r="BO304" s="396">
        <v>0.26119182374725208</v>
      </c>
      <c r="BP304" s="396">
        <v>1439.2271761556692</v>
      </c>
      <c r="BQ304" s="396">
        <v>2.1370849600012272</v>
      </c>
      <c r="BR304" s="396">
        <v>4.1577938164888513E-3</v>
      </c>
      <c r="BS304" s="396">
        <v>2.4067372813106407</v>
      </c>
      <c r="BT304" s="396">
        <v>9.2922173049340764E-2</v>
      </c>
      <c r="BU304" s="396">
        <v>2145.6669491067082</v>
      </c>
      <c r="BV304" s="396">
        <v>44.813078776734159</v>
      </c>
      <c r="BW304" s="396">
        <v>1.009723148665621E-2</v>
      </c>
      <c r="BX304" s="396">
        <v>1.3486031236666727</v>
      </c>
      <c r="BY304" s="396">
        <v>1.2590516023965337</v>
      </c>
      <c r="BZ304" s="396">
        <v>0</v>
      </c>
      <c r="CA304" s="396">
        <v>0</v>
      </c>
      <c r="CB304" s="396">
        <v>0</v>
      </c>
      <c r="CC304" s="396">
        <v>0</v>
      </c>
      <c r="CD304" s="396">
        <v>0</v>
      </c>
      <c r="CE304" s="396">
        <v>1472.3234403605124</v>
      </c>
      <c r="CF304" s="396">
        <v>17.176806083650192</v>
      </c>
      <c r="CG304" s="396">
        <v>1.3482828122799606E-2</v>
      </c>
      <c r="CH304" s="396">
        <v>0.18910408745247148</v>
      </c>
      <c r="CI304" s="396">
        <v>0.27766775806224475</v>
      </c>
      <c r="CJ304" s="396">
        <v>1439.0043557551735</v>
      </c>
      <c r="CK304" s="396">
        <v>1.6381131089642147</v>
      </c>
      <c r="CL304" s="396">
        <v>2.5743417383833969E-3</v>
      </c>
      <c r="CM304" s="396">
        <v>0.46362919310514605</v>
      </c>
      <c r="CN304" s="396">
        <v>8.6932483282842754E-2</v>
      </c>
      <c r="CO304" s="396">
        <v>2017.4611640644832</v>
      </c>
      <c r="CP304" s="396">
        <v>43.803077746659611</v>
      </c>
      <c r="CQ304" s="396">
        <v>9.083210161799176E-3</v>
      </c>
      <c r="CR304" s="396">
        <v>1.1960011729997502</v>
      </c>
      <c r="CS304" s="396">
        <v>1.0888822847515935</v>
      </c>
      <c r="CT304" s="396">
        <v>0</v>
      </c>
      <c r="CU304" s="396">
        <v>0</v>
      </c>
      <c r="CV304" s="396">
        <v>0</v>
      </c>
      <c r="CW304" s="396">
        <v>0</v>
      </c>
      <c r="CX304" s="396">
        <v>0</v>
      </c>
      <c r="CY304" s="396">
        <v>1192.3377536930413</v>
      </c>
      <c r="CZ304" s="396">
        <v>9.2983873068806489</v>
      </c>
      <c r="DA304" s="396">
        <v>1.2489057655733007E-2</v>
      </c>
      <c r="DB304" s="396">
        <v>0.17823515618893779</v>
      </c>
      <c r="DC304" s="396">
        <v>0.30335369825183023</v>
      </c>
      <c r="DD304" s="396">
        <v>1097.5261280401535</v>
      </c>
      <c r="DE304" s="396">
        <v>0.71100276936351026</v>
      </c>
      <c r="DF304" s="396">
        <v>5.8009003910508275E-3</v>
      </c>
      <c r="DG304" s="396">
        <v>0.39773069911352532</v>
      </c>
      <c r="DH304" s="396">
        <v>8.3442151846474272E-2</v>
      </c>
      <c r="DI304" s="396">
        <v>1807.5486121064448</v>
      </c>
      <c r="DJ304" s="396">
        <v>39.484655932986158</v>
      </c>
      <c r="DK304" s="396">
        <v>8.8597455130348928E-3</v>
      </c>
      <c r="DL304" s="396">
        <v>1.0482697115920565</v>
      </c>
      <c r="DM304" s="396">
        <v>1.0877295239915277</v>
      </c>
      <c r="DN304" s="396">
        <v>0</v>
      </c>
      <c r="DO304" s="396">
        <v>0</v>
      </c>
      <c r="DP304" s="396">
        <v>0</v>
      </c>
      <c r="DQ304" s="396">
        <v>0</v>
      </c>
      <c r="DR304" s="396">
        <v>0</v>
      </c>
      <c r="DS304" s="396">
        <v>1684.3116893834158</v>
      </c>
      <c r="DT304" s="396">
        <v>26.630448237446192</v>
      </c>
      <c r="DU304" s="396">
        <v>6.2757712462348895E-3</v>
      </c>
      <c r="DV304" s="396">
        <v>0.10667714250347285</v>
      </c>
      <c r="DW304" s="396">
        <v>0.19775915661490642</v>
      </c>
      <c r="DX304" s="396">
        <v>1510.7974731819497</v>
      </c>
      <c r="DY304" s="396">
        <v>1.9604145220351037</v>
      </c>
      <c r="DZ304" s="396">
        <v>5.0401589727561294E-3</v>
      </c>
      <c r="EA304" s="396">
        <v>2.2913038117331301</v>
      </c>
      <c r="EB304" s="396">
        <v>8.3673750283163054E-2</v>
      </c>
      <c r="EC304" s="396">
        <v>2257.712956848784</v>
      </c>
      <c r="ED304" s="396">
        <v>45.986046912233355</v>
      </c>
      <c r="EE304" s="396">
        <v>1.001820217622233E-2</v>
      </c>
      <c r="EF304" s="396">
        <v>1.5282966323102984</v>
      </c>
      <c r="EG304" s="396">
        <v>1.3052740374953347</v>
      </c>
      <c r="EH304" s="396">
        <v>0</v>
      </c>
      <c r="EI304" s="396">
        <v>0</v>
      </c>
      <c r="EJ304" s="396">
        <v>0</v>
      </c>
      <c r="EK304" s="396">
        <v>0</v>
      </c>
      <c r="EL304" s="396">
        <v>0</v>
      </c>
      <c r="EM304" s="396">
        <v>989.35088611145193</v>
      </c>
      <c r="EN304" s="396">
        <v>4.3921415674794471</v>
      </c>
      <c r="EO304" s="396">
        <v>1.7677704349045528E-2</v>
      </c>
      <c r="EP304" s="396">
        <v>0.25475923361438818</v>
      </c>
      <c r="EQ304" s="396">
        <v>0.30772170315704594</v>
      </c>
      <c r="ER304" s="396">
        <v>783.47409267290573</v>
      </c>
      <c r="ES304" s="396">
        <v>0.88232899642395202</v>
      </c>
      <c r="ET304" s="396">
        <v>2.8902799969565546E-3</v>
      </c>
      <c r="EU304" s="396">
        <v>0.49309137944152776</v>
      </c>
      <c r="EV304" s="396">
        <v>0.12935136574602449</v>
      </c>
      <c r="EW304" s="396">
        <v>2101.7572148101917</v>
      </c>
      <c r="EX304" s="396">
        <v>42.308045737865505</v>
      </c>
      <c r="EY304" s="396">
        <v>9.9092351304257351E-3</v>
      </c>
      <c r="EZ304" s="396">
        <v>1.2834083205464963</v>
      </c>
      <c r="FA304" s="396">
        <v>1.2093053496658086</v>
      </c>
      <c r="FB304" s="396">
        <v>0</v>
      </c>
      <c r="FC304" s="396">
        <v>0</v>
      </c>
      <c r="FD304" s="396">
        <v>0</v>
      </c>
      <c r="FE304" s="396">
        <v>0</v>
      </c>
      <c r="FF304" s="396">
        <v>0</v>
      </c>
      <c r="FG304" s="396">
        <v>916.36944492566067</v>
      </c>
      <c r="FH304" s="396">
        <v>2.497949169987058</v>
      </c>
      <c r="FI304" s="396">
        <v>7.7626463604773223E-3</v>
      </c>
      <c r="FJ304" s="396">
        <v>3.332216628792125E-2</v>
      </c>
      <c r="FK304" s="396">
        <v>8.9133785450061662E-2</v>
      </c>
      <c r="FL304" s="396">
        <v>722.58467594793944</v>
      </c>
      <c r="FM304" s="396">
        <v>0.78116395563566388</v>
      </c>
      <c r="FN304" s="396">
        <v>2.4916955093826367E-3</v>
      </c>
      <c r="FO304" s="396">
        <v>0.35969391704355708</v>
      </c>
      <c r="FP304" s="396">
        <v>3.5519390045669175E-2</v>
      </c>
      <c r="FQ304" s="396">
        <v>1837.0769246275729</v>
      </c>
      <c r="FR304" s="396">
        <v>39.607313483984115</v>
      </c>
      <c r="FS304" s="396">
        <v>8.8010386638982408E-3</v>
      </c>
      <c r="FT304" s="396">
        <v>1.1762074908783033</v>
      </c>
      <c r="FU304" s="396">
        <v>1.0888584272380915</v>
      </c>
      <c r="FV304" s="396">
        <v>0</v>
      </c>
      <c r="FW304" s="396">
        <v>0</v>
      </c>
      <c r="FX304" s="396">
        <v>0</v>
      </c>
      <c r="FY304" s="396">
        <v>0</v>
      </c>
      <c r="FZ304" s="396">
        <v>0</v>
      </c>
      <c r="GA304" s="396">
        <v>1446.5967075044784</v>
      </c>
      <c r="GB304" s="396">
        <v>1.4830196208281332</v>
      </c>
      <c r="GC304" s="396">
        <v>4.9237156465703879E-3</v>
      </c>
      <c r="GD304" s="396">
        <v>1.4792924275999082</v>
      </c>
      <c r="GE304" s="396">
        <v>7.5353828650993784E-2</v>
      </c>
      <c r="GF304" s="396">
        <v>1943.9999300053805</v>
      </c>
      <c r="GG304" s="396">
        <v>43.38585846213072</v>
      </c>
      <c r="GH304" s="396">
        <v>8.4454195083752924E-3</v>
      </c>
      <c r="GI304" s="396">
        <v>1.0401331647629586</v>
      </c>
      <c r="GJ304" s="396">
        <v>0.98180139901745067</v>
      </c>
      <c r="GK304" s="396">
        <v>0</v>
      </c>
      <c r="GL304" s="396">
        <v>0</v>
      </c>
      <c r="GM304" s="396">
        <v>0</v>
      </c>
      <c r="GN304" s="396">
        <v>0</v>
      </c>
      <c r="GO304" s="396">
        <v>0</v>
      </c>
      <c r="GP304" s="396">
        <v>1413.6303543098888</v>
      </c>
      <c r="GQ304" s="396">
        <v>1.6569506874669486</v>
      </c>
      <c r="GR304" s="396">
        <v>3.6337916446324697E-3</v>
      </c>
      <c r="GS304" s="396">
        <v>1.5572580645161291</v>
      </c>
      <c r="GT304" s="396">
        <v>6.655109730301427E-2</v>
      </c>
      <c r="GU304" s="396">
        <v>1744.4301398276293</v>
      </c>
      <c r="GV304" s="396">
        <v>41.400511390051136</v>
      </c>
      <c r="GW304" s="396">
        <v>0.7737510281443335</v>
      </c>
      <c r="GX304" s="396">
        <v>0.78681382541215172</v>
      </c>
      <c r="GY304" s="396"/>
      <c r="GZ304" s="396">
        <v>0</v>
      </c>
      <c r="HA304" s="396">
        <v>0</v>
      </c>
      <c r="HB304" s="396">
        <v>0</v>
      </c>
      <c r="HC304" s="396">
        <v>0</v>
      </c>
      <c r="HD304" s="487">
        <v>0</v>
      </c>
    </row>
    <row r="305" spans="1:212" x14ac:dyDescent="0.35">
      <c r="B305" s="488">
        <v>2035</v>
      </c>
      <c r="C305" s="396">
        <v>269.19715215329387</v>
      </c>
      <c r="D305" s="396">
        <v>0.96060198580879086</v>
      </c>
      <c r="E305" s="396">
        <v>2.1455799546169457E-3</v>
      </c>
      <c r="F305" s="396">
        <v>2.9162874740368109E-2</v>
      </c>
      <c r="G305" s="396">
        <v>6.5846850199901552E-2</v>
      </c>
      <c r="H305" s="396">
        <v>264.78781317035663</v>
      </c>
      <c r="I305" s="396">
        <v>0.78967499089326909</v>
      </c>
      <c r="J305" s="396">
        <v>1.7042993888371719E-3</v>
      </c>
      <c r="K305" s="396">
        <v>1.885093293398632E-2</v>
      </c>
      <c r="L305" s="396">
        <v>5.4709191727040932E-2</v>
      </c>
      <c r="M305" s="396">
        <v>263.83434988074737</v>
      </c>
      <c r="N305" s="396">
        <v>0.95393416697229272</v>
      </c>
      <c r="O305" s="396">
        <v>2.3340216733670803E-3</v>
      </c>
      <c r="P305" s="396">
        <v>2.9846665249496005E-2</v>
      </c>
      <c r="Q305" s="396">
        <v>7.6486802792916322E-2</v>
      </c>
      <c r="R305" s="396">
        <v>0</v>
      </c>
      <c r="S305" s="396">
        <v>0</v>
      </c>
      <c r="T305" s="396">
        <v>0</v>
      </c>
      <c r="U305" s="396">
        <v>0</v>
      </c>
      <c r="V305" s="396">
        <v>0</v>
      </c>
      <c r="W305" s="396">
        <v>342.99727830785258</v>
      </c>
      <c r="X305" s="396">
        <v>1.0203640470874096</v>
      </c>
      <c r="Y305" s="396">
        <v>3.2377458599194644E-3</v>
      </c>
      <c r="Z305" s="396">
        <v>3.442288024791839E-2</v>
      </c>
      <c r="AA305" s="396">
        <v>7.0912775342940326E-2</v>
      </c>
      <c r="AB305" s="396">
        <v>464.07724388908571</v>
      </c>
      <c r="AC305" s="396">
        <v>0.66221095938939156</v>
      </c>
      <c r="AD305" s="396">
        <v>1.8195468744967955E-3</v>
      </c>
      <c r="AE305" s="396">
        <v>0.36396170815754725</v>
      </c>
      <c r="AF305" s="396">
        <v>5.4413807123764125E-2</v>
      </c>
      <c r="AG305" s="396">
        <v>332.40291530980704</v>
      </c>
      <c r="AH305" s="396">
        <v>1.0107490357374056</v>
      </c>
      <c r="AI305" s="396">
        <v>3.4799357076222902E-3</v>
      </c>
      <c r="AJ305" s="396">
        <v>3.4882799327539141E-2</v>
      </c>
      <c r="AK305" s="396">
        <v>8.1259953380641875E-2</v>
      </c>
      <c r="AL305" s="396">
        <v>0</v>
      </c>
      <c r="AM305" s="396">
        <v>0</v>
      </c>
      <c r="AN305" s="396">
        <v>0</v>
      </c>
      <c r="AO305" s="396">
        <v>0</v>
      </c>
      <c r="AP305" s="396">
        <v>0</v>
      </c>
      <c r="AQ305" s="396">
        <v>382.76939590313583</v>
      </c>
      <c r="AR305" s="396">
        <v>0.99184188351423463</v>
      </c>
      <c r="AS305" s="396">
        <v>3.9167485905744039E-3</v>
      </c>
      <c r="AT305" s="396">
        <v>3.8084585598780168E-2</v>
      </c>
      <c r="AU305" s="396">
        <v>7.54381257147443E-2</v>
      </c>
      <c r="AV305" s="396">
        <v>477.72628046396454</v>
      </c>
      <c r="AW305" s="396">
        <v>0.65424214779095535</v>
      </c>
      <c r="AX305" s="396">
        <v>1.7948366023719537E-3</v>
      </c>
      <c r="AY305" s="396">
        <v>0.38229058060732435</v>
      </c>
      <c r="AZ305" s="396">
        <v>5.3523719536035443E-2</v>
      </c>
      <c r="BA305" s="396">
        <v>324.60555303570271</v>
      </c>
      <c r="BB305" s="396">
        <v>0.94614624505928857</v>
      </c>
      <c r="BC305" s="396">
        <v>3.4003920171062009E-3</v>
      </c>
      <c r="BD305" s="396">
        <v>3.436378215512214E-2</v>
      </c>
      <c r="BE305" s="396">
        <v>7.9591621849284006E-2</v>
      </c>
      <c r="BF305" s="396">
        <v>0</v>
      </c>
      <c r="BG305" s="396">
        <v>0</v>
      </c>
      <c r="BH305" s="396">
        <v>0</v>
      </c>
      <c r="BI305" s="396">
        <v>0</v>
      </c>
      <c r="BJ305" s="396">
        <v>0</v>
      </c>
      <c r="BK305" s="396">
        <v>1492.6553207463726</v>
      </c>
      <c r="BL305" s="396">
        <v>7.6835912691780592</v>
      </c>
      <c r="BM305" s="396">
        <v>1.2342018044795729E-2</v>
      </c>
      <c r="BN305" s="396">
        <v>0.15477050609249693</v>
      </c>
      <c r="BO305" s="396">
        <v>0.18445648345036655</v>
      </c>
      <c r="BP305" s="396">
        <v>1439.1439769899107</v>
      </c>
      <c r="BQ305" s="396">
        <v>1.8574760435761017</v>
      </c>
      <c r="BR305" s="396">
        <v>3.0425328981684326E-3</v>
      </c>
      <c r="BS305" s="396">
        <v>0.9840613403675057</v>
      </c>
      <c r="BT305" s="396">
        <v>8.9079149342036645E-2</v>
      </c>
      <c r="BU305" s="396">
        <v>1666.4842756867297</v>
      </c>
      <c r="BV305" s="396">
        <v>19.121980876582104</v>
      </c>
      <c r="BW305" s="396">
        <v>5.8008622119051561E-3</v>
      </c>
      <c r="BX305" s="396">
        <v>0.91963742883988275</v>
      </c>
      <c r="BY305" s="396">
        <v>0.48688774664234791</v>
      </c>
      <c r="BZ305" s="396">
        <v>0</v>
      </c>
      <c r="CA305" s="396">
        <v>0</v>
      </c>
      <c r="CB305" s="396">
        <v>0</v>
      </c>
      <c r="CC305" s="396">
        <v>0</v>
      </c>
      <c r="CD305" s="396">
        <v>0</v>
      </c>
      <c r="CE305" s="396">
        <v>1472.0008380473498</v>
      </c>
      <c r="CF305" s="396">
        <v>7.867588518751309</v>
      </c>
      <c r="CG305" s="396">
        <v>1.2806494866959985E-2</v>
      </c>
      <c r="CH305" s="396">
        <v>0.16598240100565681</v>
      </c>
      <c r="CI305" s="396">
        <v>0.19647936308401423</v>
      </c>
      <c r="CJ305" s="396">
        <v>1438.9769420953696</v>
      </c>
      <c r="CK305" s="396">
        <v>1.6376941123896771</v>
      </c>
      <c r="CL305" s="396">
        <v>2.5768799211164169E-3</v>
      </c>
      <c r="CM305" s="396">
        <v>0.46357948832532681</v>
      </c>
      <c r="CN305" s="396">
        <v>8.6929077635241159E-2</v>
      </c>
      <c r="CO305" s="396">
        <v>1610.2678378417327</v>
      </c>
      <c r="CP305" s="396">
        <v>18.569946245082072</v>
      </c>
      <c r="CQ305" s="396">
        <v>5.2245672945279518E-3</v>
      </c>
      <c r="CR305" s="396">
        <v>0.82406793583997473</v>
      </c>
      <c r="CS305" s="396">
        <v>0.43273249362290855</v>
      </c>
      <c r="CT305" s="396">
        <v>0</v>
      </c>
      <c r="CU305" s="396">
        <v>0</v>
      </c>
      <c r="CV305" s="396">
        <v>0</v>
      </c>
      <c r="CW305" s="396">
        <v>0</v>
      </c>
      <c r="CX305" s="396">
        <v>0</v>
      </c>
      <c r="CY305" s="396">
        <v>1191.8476796712005</v>
      </c>
      <c r="CZ305" s="396">
        <v>4.7013614349888169</v>
      </c>
      <c r="DA305" s="396">
        <v>1.1514056048768567E-2</v>
      </c>
      <c r="DB305" s="396">
        <v>0.15708566452186878</v>
      </c>
      <c r="DC305" s="396">
        <v>0.21600578907468784</v>
      </c>
      <c r="DD305" s="396">
        <v>1097.4773945881002</v>
      </c>
      <c r="DE305" s="396">
        <v>0.69739789321357504</v>
      </c>
      <c r="DF305" s="396">
        <v>5.7524380793718488E-3</v>
      </c>
      <c r="DG305" s="396">
        <v>0.3424410048437776</v>
      </c>
      <c r="DH305" s="396">
        <v>8.3277354837412984E-2</v>
      </c>
      <c r="DI305" s="396">
        <v>1394.7209899163563</v>
      </c>
      <c r="DJ305" s="396">
        <v>16.909993913419967</v>
      </c>
      <c r="DK305" s="396">
        <v>5.1612316226069387E-3</v>
      </c>
      <c r="DL305" s="396">
        <v>0.73545652487654278</v>
      </c>
      <c r="DM305" s="396">
        <v>0.42249650178518766</v>
      </c>
      <c r="DN305" s="396">
        <v>0</v>
      </c>
      <c r="DO305" s="396">
        <v>0</v>
      </c>
      <c r="DP305" s="396">
        <v>0</v>
      </c>
      <c r="DQ305" s="396">
        <v>0</v>
      </c>
      <c r="DR305" s="396">
        <v>0</v>
      </c>
      <c r="DS305" s="396">
        <v>1684.0790103828999</v>
      </c>
      <c r="DT305" s="396">
        <v>11.509641729679716</v>
      </c>
      <c r="DU305" s="396">
        <v>5.7290998120196647E-3</v>
      </c>
      <c r="DV305" s="396">
        <v>9.2244589456811771E-2</v>
      </c>
      <c r="DW305" s="396">
        <v>0.13931558216890863</v>
      </c>
      <c r="DX305" s="396">
        <v>1510.5895115757294</v>
      </c>
      <c r="DY305" s="396">
        <v>1.7214017439614719</v>
      </c>
      <c r="DZ305" s="396">
        <v>4.0927756820653581E-3</v>
      </c>
      <c r="EA305" s="396">
        <v>0.97620202119819954</v>
      </c>
      <c r="EB305" s="396">
        <v>8.0055666505036552E-2</v>
      </c>
      <c r="EC305" s="396">
        <v>1765.5003882400911</v>
      </c>
      <c r="ED305" s="396">
        <v>19.632483360211495</v>
      </c>
      <c r="EE305" s="396">
        <v>5.7642356864058839E-3</v>
      </c>
      <c r="EF305" s="396">
        <v>1.0124730244552305</v>
      </c>
      <c r="EG305" s="396">
        <v>0.5121185443723365</v>
      </c>
      <c r="EH305" s="396">
        <v>0</v>
      </c>
      <c r="EI305" s="396">
        <v>0</v>
      </c>
      <c r="EJ305" s="396">
        <v>0</v>
      </c>
      <c r="EK305" s="396">
        <v>0</v>
      </c>
      <c r="EL305" s="396">
        <v>0</v>
      </c>
      <c r="EM305" s="396">
        <v>988.41950348621197</v>
      </c>
      <c r="EN305" s="396">
        <v>2.6629834254143647</v>
      </c>
      <c r="EO305" s="396">
        <v>1.6569438748019655E-2</v>
      </c>
      <c r="EP305" s="396">
        <v>0.2247726121257449</v>
      </c>
      <c r="EQ305" s="396">
        <v>0.21649094871609287</v>
      </c>
      <c r="ER305" s="396">
        <v>781.56766879274085</v>
      </c>
      <c r="ES305" s="396">
        <v>0.8325376538323388</v>
      </c>
      <c r="ET305" s="396">
        <v>2.6352626091080602E-3</v>
      </c>
      <c r="EU305" s="396">
        <v>0.3682455877275882</v>
      </c>
      <c r="EV305" s="396">
        <v>0.12853182311155437</v>
      </c>
      <c r="EW305" s="396">
        <v>1642.8212754451699</v>
      </c>
      <c r="EX305" s="396">
        <v>18.488470006566494</v>
      </c>
      <c r="EY305" s="396">
        <v>5.7287960137510138E-3</v>
      </c>
      <c r="EZ305" s="396">
        <v>0.87526748812236854</v>
      </c>
      <c r="FA305" s="396">
        <v>0.4697833056510487</v>
      </c>
      <c r="FB305" s="396">
        <v>0</v>
      </c>
      <c r="FC305" s="396">
        <v>0</v>
      </c>
      <c r="FD305" s="396">
        <v>0</v>
      </c>
      <c r="FE305" s="396">
        <v>0</v>
      </c>
      <c r="FF305" s="396">
        <v>0</v>
      </c>
      <c r="FG305" s="396">
        <v>915.80497264961809</v>
      </c>
      <c r="FH305" s="396">
        <v>1.1346126508662784</v>
      </c>
      <c r="FI305" s="396">
        <v>7.6776272373513879E-3</v>
      </c>
      <c r="FJ305" s="396">
        <v>2.8738993103751158E-2</v>
      </c>
      <c r="FK305" s="396">
        <v>6.3650631664958102E-2</v>
      </c>
      <c r="FL305" s="396">
        <v>720.85878809443864</v>
      </c>
      <c r="FM305" s="396">
        <v>0.73617925497526782</v>
      </c>
      <c r="FN305" s="396">
        <v>2.2537374020858286E-3</v>
      </c>
      <c r="FO305" s="396">
        <v>0.24854237559951289</v>
      </c>
      <c r="FP305" s="396">
        <v>3.4800062143863039E-2</v>
      </c>
      <c r="FQ305" s="396">
        <v>1425.2661729930167</v>
      </c>
      <c r="FR305" s="396">
        <v>16.866541582938282</v>
      </c>
      <c r="FS305" s="396">
        <v>5.0382467554095011E-3</v>
      </c>
      <c r="FT305" s="396">
        <v>0.80029531602144932</v>
      </c>
      <c r="FU305" s="396">
        <v>0.42526950362483767</v>
      </c>
      <c r="FV305" s="396">
        <v>0</v>
      </c>
      <c r="FW305" s="396">
        <v>0</v>
      </c>
      <c r="FX305" s="396">
        <v>0</v>
      </c>
      <c r="FY305" s="396">
        <v>0</v>
      </c>
      <c r="FZ305" s="396">
        <v>0</v>
      </c>
      <c r="GA305" s="396">
        <v>1446.3423777153434</v>
      </c>
      <c r="GB305" s="396">
        <v>1.3120021950757648</v>
      </c>
      <c r="GC305" s="396">
        <v>4.2009808278681872E-3</v>
      </c>
      <c r="GD305" s="396">
        <v>0.64909317864747773</v>
      </c>
      <c r="GE305" s="396">
        <v>7.2842507178438792E-2</v>
      </c>
      <c r="GF305" s="396">
        <v>1578.0750162252252</v>
      </c>
      <c r="GG305" s="396">
        <v>18.279742086122344</v>
      </c>
      <c r="GH305" s="396">
        <v>4.8412616120769442E-3</v>
      </c>
      <c r="GI305" s="396">
        <v>0.73312672573032711</v>
      </c>
      <c r="GJ305" s="396">
        <v>0.39215121525977642</v>
      </c>
      <c r="GK305" s="396">
        <v>0</v>
      </c>
      <c r="GL305" s="396">
        <v>0</v>
      </c>
      <c r="GM305" s="396">
        <v>0</v>
      </c>
      <c r="GN305" s="396">
        <v>0</v>
      </c>
      <c r="GO305" s="396">
        <v>0</v>
      </c>
      <c r="GP305" s="396">
        <v>1413.5638584239589</v>
      </c>
      <c r="GQ305" s="396">
        <v>1.4489701742781991</v>
      </c>
      <c r="GR305" s="396">
        <v>2.6676070203504026E-3</v>
      </c>
      <c r="GS305" s="396">
        <v>0.65430773253757057</v>
      </c>
      <c r="GT305" s="396">
        <v>6.3731060897386602E-2</v>
      </c>
      <c r="GU305" s="396">
        <v>1459.0891593146305</v>
      </c>
      <c r="GV305" s="396">
        <v>17.428764465114813</v>
      </c>
      <c r="GW305" s="396">
        <v>0.60830001021297997</v>
      </c>
      <c r="GX305" s="396">
        <v>0.33299735248136131</v>
      </c>
      <c r="GY305" s="396"/>
      <c r="GZ305" s="396">
        <v>0</v>
      </c>
      <c r="HA305" s="396">
        <v>0</v>
      </c>
      <c r="HB305" s="396">
        <v>0</v>
      </c>
      <c r="HC305" s="396">
        <v>0</v>
      </c>
      <c r="HD305" s="487">
        <v>0</v>
      </c>
    </row>
    <row r="306" spans="1:212" x14ac:dyDescent="0.35">
      <c r="B306" s="488">
        <v>2036</v>
      </c>
      <c r="C306" s="396">
        <v>269.64273484762015</v>
      </c>
      <c r="D306" s="396">
        <v>0.95889738614313436</v>
      </c>
      <c r="E306" s="396">
        <v>2.1388825476543771E-3</v>
      </c>
      <c r="F306" s="396">
        <v>2.908412281703002E-2</v>
      </c>
      <c r="G306" s="396">
        <v>6.5151809154206139E-2</v>
      </c>
      <c r="H306" s="396">
        <v>265.23956255848464</v>
      </c>
      <c r="I306" s="396">
        <v>0.78899685246273521</v>
      </c>
      <c r="J306" s="396">
        <v>1.6998024518653648E-3</v>
      </c>
      <c r="K306" s="396">
        <v>1.882690435456582E-2</v>
      </c>
      <c r="L306" s="396">
        <v>5.4545497509381174E-2</v>
      </c>
      <c r="M306" s="396">
        <v>264.27040662876243</v>
      </c>
      <c r="N306" s="396">
        <v>0.95225977006646745</v>
      </c>
      <c r="O306" s="396">
        <v>2.3265593317965956E-3</v>
      </c>
      <c r="P306" s="396">
        <v>2.9765727051872106E-2</v>
      </c>
      <c r="Q306" s="396">
        <v>7.5558658132852702E-2</v>
      </c>
      <c r="R306" s="396">
        <v>0</v>
      </c>
      <c r="S306" s="396">
        <v>0</v>
      </c>
      <c r="T306" s="396">
        <v>0</v>
      </c>
      <c r="U306" s="396">
        <v>0</v>
      </c>
      <c r="V306" s="396">
        <v>0</v>
      </c>
      <c r="W306" s="396">
        <v>343.2993794213964</v>
      </c>
      <c r="X306" s="396">
        <v>1.020078341263954</v>
      </c>
      <c r="Y306" s="396">
        <v>3.2360550740894866E-3</v>
      </c>
      <c r="Z306" s="396">
        <v>3.4455682003220495E-2</v>
      </c>
      <c r="AA306" s="396">
        <v>7.0418483472345347E-2</v>
      </c>
      <c r="AB306" s="396">
        <v>464.11927404993747</v>
      </c>
      <c r="AC306" s="396">
        <v>0.66211590194369729</v>
      </c>
      <c r="AD306" s="396">
        <v>1.8190713446747243E-3</v>
      </c>
      <c r="AE306" s="396">
        <v>0.36387773273216389</v>
      </c>
      <c r="AF306" s="396">
        <v>5.4388095328306754E-2</v>
      </c>
      <c r="AG306" s="396">
        <v>332.69552906214739</v>
      </c>
      <c r="AH306" s="396">
        <v>1.0104665316297186</v>
      </c>
      <c r="AI306" s="396">
        <v>3.4779256642626355E-3</v>
      </c>
      <c r="AJ306" s="396">
        <v>3.4916162614390081E-2</v>
      </c>
      <c r="AK306" s="396">
        <v>8.053926000686866E-2</v>
      </c>
      <c r="AL306" s="396">
        <v>0</v>
      </c>
      <c r="AM306" s="396">
        <v>0</v>
      </c>
      <c r="AN306" s="396">
        <v>0</v>
      </c>
      <c r="AO306" s="396">
        <v>0</v>
      </c>
      <c r="AP306" s="396">
        <v>0</v>
      </c>
      <c r="AQ306" s="396">
        <v>383.07329484620652</v>
      </c>
      <c r="AR306" s="396">
        <v>0.99154427808022205</v>
      </c>
      <c r="AS306" s="396">
        <v>3.9158386211402586E-3</v>
      </c>
      <c r="AT306" s="396">
        <v>3.8112747728091069E-2</v>
      </c>
      <c r="AU306" s="396">
        <v>7.4939491273628214E-2</v>
      </c>
      <c r="AV306" s="396">
        <v>477.73364557504516</v>
      </c>
      <c r="AW306" s="396">
        <v>0.65416934521076309</v>
      </c>
      <c r="AX306" s="396">
        <v>1.7944791379679798E-3</v>
      </c>
      <c r="AY306" s="396">
        <v>0.38215860042244465</v>
      </c>
      <c r="AZ306" s="396">
        <v>5.3496265344231186E-2</v>
      </c>
      <c r="BA306" s="396">
        <v>324.8906285977435</v>
      </c>
      <c r="BB306" s="396">
        <v>0.94587458745874586</v>
      </c>
      <c r="BC306" s="396">
        <v>3.3984189116586078E-3</v>
      </c>
      <c r="BD306" s="396">
        <v>3.4396653618850255E-2</v>
      </c>
      <c r="BE306" s="396">
        <v>7.8899378309924009E-2</v>
      </c>
      <c r="BF306" s="396">
        <v>0</v>
      </c>
      <c r="BG306" s="396">
        <v>0</v>
      </c>
      <c r="BH306" s="396">
        <v>0</v>
      </c>
      <c r="BI306" s="396">
        <v>0</v>
      </c>
      <c r="BJ306" s="396">
        <v>0</v>
      </c>
      <c r="BK306" s="396">
        <v>1492.6477512747035</v>
      </c>
      <c r="BL306" s="396">
        <v>7.6835799574629942</v>
      </c>
      <c r="BM306" s="396">
        <v>1.2341969152721061E-2</v>
      </c>
      <c r="BN306" s="396">
        <v>0.15477085909341629</v>
      </c>
      <c r="BO306" s="396">
        <v>0.18337509982987643</v>
      </c>
      <c r="BP306" s="396">
        <v>1439.1034667013264</v>
      </c>
      <c r="BQ306" s="396">
        <v>1.8569417065615319</v>
      </c>
      <c r="BR306" s="396">
        <v>3.0449133144148633E-3</v>
      </c>
      <c r="BS306" s="396">
        <v>0.9837748846478781</v>
      </c>
      <c r="BT306" s="396">
        <v>8.9073500422416227E-2</v>
      </c>
      <c r="BU306" s="396">
        <v>1666.4806849537413</v>
      </c>
      <c r="BV306" s="396">
        <v>19.12189579613699</v>
      </c>
      <c r="BW306" s="396">
        <v>5.8008541632851816E-3</v>
      </c>
      <c r="BX306" s="396">
        <v>0.9196356111020938</v>
      </c>
      <c r="BY306" s="396">
        <v>0.48688626034734622</v>
      </c>
      <c r="BZ306" s="396">
        <v>0</v>
      </c>
      <c r="CA306" s="396">
        <v>0</v>
      </c>
      <c r="CB306" s="396">
        <v>0</v>
      </c>
      <c r="CC306" s="396">
        <v>0</v>
      </c>
      <c r="CD306" s="396">
        <v>0</v>
      </c>
      <c r="CE306" s="396">
        <v>1471.9954500752397</v>
      </c>
      <c r="CF306" s="396">
        <v>7.8675387355790685</v>
      </c>
      <c r="CG306" s="396">
        <v>1.2806458365423733E-2</v>
      </c>
      <c r="CH306" s="396">
        <v>0.1659818082001335</v>
      </c>
      <c r="CI306" s="396">
        <v>0.19530749513213344</v>
      </c>
      <c r="CJ306" s="396">
        <v>1438.9495431884002</v>
      </c>
      <c r="CK306" s="396">
        <v>1.6372486836643798</v>
      </c>
      <c r="CL306" s="396">
        <v>2.5795514431888669E-3</v>
      </c>
      <c r="CM306" s="396">
        <v>0.46352969158804413</v>
      </c>
      <c r="CN306" s="396">
        <v>8.6925021336529532E-2</v>
      </c>
      <c r="CO306" s="396">
        <v>1610.2679938869678</v>
      </c>
      <c r="CP306" s="396">
        <v>18.570054987805058</v>
      </c>
      <c r="CQ306" s="396">
        <v>5.2245785824383013E-3</v>
      </c>
      <c r="CR306" s="396">
        <v>0.82406523188408176</v>
      </c>
      <c r="CS306" s="396">
        <v>0.43273289554937844</v>
      </c>
      <c r="CT306" s="396">
        <v>0</v>
      </c>
      <c r="CU306" s="396">
        <v>0</v>
      </c>
      <c r="CV306" s="396">
        <v>0</v>
      </c>
      <c r="CW306" s="396">
        <v>0</v>
      </c>
      <c r="CX306" s="396">
        <v>0</v>
      </c>
      <c r="CY306" s="396">
        <v>1191.6345900973056</v>
      </c>
      <c r="CZ306" s="396">
        <v>4.6984184856671529</v>
      </c>
      <c r="DA306" s="396">
        <v>1.1520548927726111E-2</v>
      </c>
      <c r="DB306" s="396">
        <v>0.15707557319434814</v>
      </c>
      <c r="DC306" s="396">
        <v>0.21470999593563964</v>
      </c>
      <c r="DD306" s="396">
        <v>1097.4303897066125</v>
      </c>
      <c r="DE306" s="396">
        <v>0.69669652036610197</v>
      </c>
      <c r="DF306" s="396">
        <v>5.7548423739616234E-3</v>
      </c>
      <c r="DG306" s="396">
        <v>0.34214282587738171</v>
      </c>
      <c r="DH306" s="396">
        <v>8.327207079479737E-2</v>
      </c>
      <c r="DI306" s="396">
        <v>1394.7195262378682</v>
      </c>
      <c r="DJ306" s="396">
        <v>16.909975446741363</v>
      </c>
      <c r="DK306" s="396">
        <v>5.1612107254482651E-3</v>
      </c>
      <c r="DL306" s="396">
        <v>0.73545843919260601</v>
      </c>
      <c r="DM306" s="396">
        <v>0.42249578086064354</v>
      </c>
      <c r="DN306" s="396">
        <v>0</v>
      </c>
      <c r="DO306" s="396">
        <v>0</v>
      </c>
      <c r="DP306" s="396">
        <v>0</v>
      </c>
      <c r="DQ306" s="396">
        <v>0</v>
      </c>
      <c r="DR306" s="396">
        <v>0</v>
      </c>
      <c r="DS306" s="396">
        <v>1684.0775115051329</v>
      </c>
      <c r="DT306" s="396">
        <v>11.509658155176924</v>
      </c>
      <c r="DU306" s="396">
        <v>5.7290791276107794E-3</v>
      </c>
      <c r="DV306" s="396">
        <v>9.2244539871635028E-2</v>
      </c>
      <c r="DW306" s="396">
        <v>0.13791660894860783</v>
      </c>
      <c r="DX306" s="396">
        <v>1510.4338605545224</v>
      </c>
      <c r="DY306" s="396">
        <v>1.7188342282860785</v>
      </c>
      <c r="DZ306" s="396">
        <v>4.1050124318338524E-3</v>
      </c>
      <c r="EA306" s="396">
        <v>0.97468189131025262</v>
      </c>
      <c r="EB306" s="396">
        <v>8.0025490482856607E-2</v>
      </c>
      <c r="EC306" s="396">
        <v>1765.4989242316528</v>
      </c>
      <c r="ED306" s="396">
        <v>19.632455590827931</v>
      </c>
      <c r="EE306" s="396">
        <v>5.7642178565814267E-3</v>
      </c>
      <c r="EF306" s="396">
        <v>1.0124728125065989</v>
      </c>
      <c r="EG306" s="396">
        <v>0.51211735142782733</v>
      </c>
      <c r="EH306" s="396">
        <v>0</v>
      </c>
      <c r="EI306" s="396">
        <v>0</v>
      </c>
      <c r="EJ306" s="396">
        <v>0</v>
      </c>
      <c r="EK306" s="396">
        <v>0</v>
      </c>
      <c r="EL306" s="396">
        <v>0</v>
      </c>
      <c r="EM306" s="396">
        <v>988.16427804318039</v>
      </c>
      <c r="EN306" s="396">
        <v>2.658808280561419</v>
      </c>
      <c r="EO306" s="396">
        <v>1.656378920860645E-2</v>
      </c>
      <c r="EP306" s="396">
        <v>0.22446320779172685</v>
      </c>
      <c r="EQ306" s="396">
        <v>0.21451172091989781</v>
      </c>
      <c r="ER306" s="396">
        <v>780.21480808787419</v>
      </c>
      <c r="ES306" s="396">
        <v>0.83090040336684556</v>
      </c>
      <c r="ET306" s="396">
        <v>2.6297945941782964E-3</v>
      </c>
      <c r="EU306" s="396">
        <v>0.36719539706123022</v>
      </c>
      <c r="EV306" s="396">
        <v>0.12847731422501898</v>
      </c>
      <c r="EW306" s="396">
        <v>1642.8241967795457</v>
      </c>
      <c r="EX306" s="396">
        <v>18.488492967733496</v>
      </c>
      <c r="EY306" s="396">
        <v>5.7287947734735887E-3</v>
      </c>
      <c r="EZ306" s="396">
        <v>0.87526418328640565</v>
      </c>
      <c r="FA306" s="396">
        <v>0.46978293943920857</v>
      </c>
      <c r="FB306" s="396">
        <v>0</v>
      </c>
      <c r="FC306" s="396">
        <v>0</v>
      </c>
      <c r="FD306" s="396">
        <v>0</v>
      </c>
      <c r="FE306" s="396">
        <v>0</v>
      </c>
      <c r="FF306" s="396">
        <v>0</v>
      </c>
      <c r="FG306" s="396">
        <v>915.59559335862514</v>
      </c>
      <c r="FH306" s="396">
        <v>1.1321876459296754</v>
      </c>
      <c r="FI306" s="396">
        <v>7.6823284235958333E-3</v>
      </c>
      <c r="FJ306" s="396">
        <v>2.8707575640983744E-2</v>
      </c>
      <c r="FK306" s="396">
        <v>6.2261676745806453E-2</v>
      </c>
      <c r="FL306" s="396">
        <v>719.6337230544392</v>
      </c>
      <c r="FM306" s="396">
        <v>0.73487851662404091</v>
      </c>
      <c r="FN306" s="396">
        <v>2.2495981001096088E-3</v>
      </c>
      <c r="FO306" s="396">
        <v>0.24755526123492877</v>
      </c>
      <c r="FP306" s="396">
        <v>3.4751187431494336E-2</v>
      </c>
      <c r="FQ306" s="396">
        <v>1425.2723781156922</v>
      </c>
      <c r="FR306" s="396">
        <v>16.866573914406647</v>
      </c>
      <c r="FS306" s="396">
        <v>5.0382407117102995E-3</v>
      </c>
      <c r="FT306" s="396">
        <v>0.80029687255055659</v>
      </c>
      <c r="FU306" s="396">
        <v>0.42526943878350837</v>
      </c>
      <c r="FV306" s="396">
        <v>0</v>
      </c>
      <c r="FW306" s="396">
        <v>0</v>
      </c>
      <c r="FX306" s="396">
        <v>0</v>
      </c>
      <c r="FY306" s="396">
        <v>0</v>
      </c>
      <c r="FZ306" s="396">
        <v>0</v>
      </c>
      <c r="GA306" s="396">
        <v>1446.1135346237052</v>
      </c>
      <c r="GB306" s="396">
        <v>1.3092287042259556</v>
      </c>
      <c r="GC306" s="396">
        <v>4.2150675053368846E-3</v>
      </c>
      <c r="GD306" s="396">
        <v>0.64753717969770741</v>
      </c>
      <c r="GE306" s="396">
        <v>7.2802952956883688E-2</v>
      </c>
      <c r="GF306" s="396">
        <v>1578.0786369146194</v>
      </c>
      <c r="GG306" s="396">
        <v>18.279753470028854</v>
      </c>
      <c r="GH306" s="396">
        <v>4.8412749901831902E-3</v>
      </c>
      <c r="GI306" s="396">
        <v>0.73312618441944244</v>
      </c>
      <c r="GJ306" s="396">
        <v>0.39215338125074689</v>
      </c>
      <c r="GK306" s="396">
        <v>0</v>
      </c>
      <c r="GL306" s="396">
        <v>0</v>
      </c>
      <c r="GM306" s="396">
        <v>0</v>
      </c>
      <c r="GN306" s="396">
        <v>0</v>
      </c>
      <c r="GO306" s="396">
        <v>0</v>
      </c>
      <c r="GP306" s="396">
        <v>1413.5377186007231</v>
      </c>
      <c r="GQ306" s="396">
        <v>1.4485109322127356</v>
      </c>
      <c r="GR306" s="396">
        <v>2.6704374626354555E-3</v>
      </c>
      <c r="GS306" s="396">
        <v>0.65406671348722212</v>
      </c>
      <c r="GT306" s="396">
        <v>6.3724904085577141E-2</v>
      </c>
      <c r="GU306" s="396">
        <v>1459.0873438287858</v>
      </c>
      <c r="GV306" s="396">
        <v>17.428777522550284</v>
      </c>
      <c r="GW306" s="396">
        <v>0.60830018488430726</v>
      </c>
      <c r="GX306" s="396">
        <v>0.33299694660765311</v>
      </c>
      <c r="GY306" s="396"/>
      <c r="GZ306" s="396">
        <v>0</v>
      </c>
      <c r="HA306" s="396">
        <v>0</v>
      </c>
      <c r="HB306" s="396">
        <v>0</v>
      </c>
      <c r="HC306" s="396">
        <v>0</v>
      </c>
      <c r="HD306" s="487">
        <v>0</v>
      </c>
    </row>
    <row r="307" spans="1:212" x14ac:dyDescent="0.35">
      <c r="B307" s="488">
        <v>2037</v>
      </c>
      <c r="C307" s="396">
        <v>268.03622998162245</v>
      </c>
      <c r="D307" s="396">
        <v>0.77184519121379191</v>
      </c>
      <c r="E307" s="396">
        <v>1.7578870219655204E-3</v>
      </c>
      <c r="F307" s="396">
        <v>2.6488743764767654E-2</v>
      </c>
      <c r="G307" s="396">
        <v>5.9307998599807475E-2</v>
      </c>
      <c r="H307" s="396">
        <v>263.64917303658086</v>
      </c>
      <c r="I307" s="396">
        <v>0.59728637153481179</v>
      </c>
      <c r="J307" s="396">
        <v>1.3980453591911335E-3</v>
      </c>
      <c r="K307" s="396">
        <v>1.6155002746040752E-2</v>
      </c>
      <c r="L307" s="396">
        <v>5.1371669862878028E-2</v>
      </c>
      <c r="M307" s="396">
        <v>262.66357101492395</v>
      </c>
      <c r="N307" s="396">
        <v>0.7658858469565033</v>
      </c>
      <c r="O307" s="396">
        <v>1.9118801834014272E-3</v>
      </c>
      <c r="P307" s="396">
        <v>2.7116102879062378E-2</v>
      </c>
      <c r="Q307" s="396">
        <v>6.9051274831182494E-2</v>
      </c>
      <c r="R307" s="396">
        <v>0</v>
      </c>
      <c r="S307" s="396">
        <v>0</v>
      </c>
      <c r="T307" s="396">
        <v>0</v>
      </c>
      <c r="U307" s="396">
        <v>0</v>
      </c>
      <c r="V307" s="396">
        <v>0</v>
      </c>
      <c r="W307" s="396">
        <v>343.74932450250964</v>
      </c>
      <c r="X307" s="396">
        <v>0.83967040045652819</v>
      </c>
      <c r="Y307" s="396">
        <v>2.1519231683750448E-3</v>
      </c>
      <c r="Z307" s="396">
        <v>2.8517882850361637E-2</v>
      </c>
      <c r="AA307" s="396">
        <v>6.2370790840037868E-2</v>
      </c>
      <c r="AB307" s="396">
        <v>464.13872123131335</v>
      </c>
      <c r="AC307" s="396">
        <v>0.58885159823531008</v>
      </c>
      <c r="AD307" s="396">
        <v>1.4060230420151389E-3</v>
      </c>
      <c r="AE307" s="396">
        <v>0.32282909753611028</v>
      </c>
      <c r="AF307" s="396">
        <v>5.2822872402811236E-2</v>
      </c>
      <c r="AG307" s="396">
        <v>333.07252362291359</v>
      </c>
      <c r="AH307" s="396">
        <v>0.83179774206956947</v>
      </c>
      <c r="AI307" s="396">
        <v>2.3185464600638836E-3</v>
      </c>
      <c r="AJ307" s="396">
        <v>2.8894752167795485E-2</v>
      </c>
      <c r="AK307" s="396">
        <v>7.199770606004699E-2</v>
      </c>
      <c r="AL307" s="396">
        <v>0</v>
      </c>
      <c r="AM307" s="396">
        <v>0</v>
      </c>
      <c r="AN307" s="396">
        <v>0</v>
      </c>
      <c r="AO307" s="396">
        <v>0</v>
      </c>
      <c r="AP307" s="396">
        <v>0</v>
      </c>
      <c r="AQ307" s="396">
        <v>383.49350197815284</v>
      </c>
      <c r="AR307" s="396">
        <v>0.81107220201019414</v>
      </c>
      <c r="AS307" s="396">
        <v>2.5386256780371634E-3</v>
      </c>
      <c r="AT307" s="396">
        <v>3.1777928768318656E-2</v>
      </c>
      <c r="AU307" s="396">
        <v>6.5973498887644103E-2</v>
      </c>
      <c r="AV307" s="396">
        <v>477.71652569799494</v>
      </c>
      <c r="AW307" s="396">
        <v>0.5877339073897645</v>
      </c>
      <c r="AX307" s="396">
        <v>1.4015279888873536E-3</v>
      </c>
      <c r="AY307" s="396">
        <v>0.33903826153991606</v>
      </c>
      <c r="AZ307" s="396">
        <v>5.2172711471189306E-2</v>
      </c>
      <c r="BA307" s="396">
        <v>325.26159316797344</v>
      </c>
      <c r="BB307" s="396">
        <v>0.78172636917426919</v>
      </c>
      <c r="BC307" s="396">
        <v>2.2654842752630505E-3</v>
      </c>
      <c r="BD307" s="396">
        <v>2.8482468157043341E-2</v>
      </c>
      <c r="BE307" s="396">
        <v>7.0522311929814341E-2</v>
      </c>
      <c r="BF307" s="396">
        <v>0</v>
      </c>
      <c r="BG307" s="396">
        <v>0</v>
      </c>
      <c r="BH307" s="396">
        <v>0</v>
      </c>
      <c r="BI307" s="396">
        <v>0</v>
      </c>
      <c r="BJ307" s="396">
        <v>0</v>
      </c>
      <c r="BK307" s="396">
        <v>1492.59459656132</v>
      </c>
      <c r="BL307" s="396">
        <v>7.4427854974043832</v>
      </c>
      <c r="BM307" s="396">
        <v>7.5986281899454583E-3</v>
      </c>
      <c r="BN307" s="396">
        <v>0.12511194078024632</v>
      </c>
      <c r="BO307" s="396">
        <v>0.16790002030485449</v>
      </c>
      <c r="BP307" s="396">
        <v>1439.0608474934781</v>
      </c>
      <c r="BQ307" s="396">
        <v>1.7635197066911088</v>
      </c>
      <c r="BR307" s="396">
        <v>2.6753225692730735E-3</v>
      </c>
      <c r="BS307" s="396">
        <v>0.51002044701403082</v>
      </c>
      <c r="BT307" s="396">
        <v>8.7791722484664741E-2</v>
      </c>
      <c r="BU307" s="396">
        <v>1666.4837947332883</v>
      </c>
      <c r="BV307" s="396">
        <v>19.121933378347961</v>
      </c>
      <c r="BW307" s="396">
        <v>5.8008383974791806E-3</v>
      </c>
      <c r="BX307" s="396">
        <v>0.919639507840048</v>
      </c>
      <c r="BY307" s="396">
        <v>0.4868894890839523</v>
      </c>
      <c r="BZ307" s="396">
        <v>0</v>
      </c>
      <c r="CA307" s="396">
        <v>0</v>
      </c>
      <c r="CB307" s="396">
        <v>0</v>
      </c>
      <c r="CC307" s="396">
        <v>0</v>
      </c>
      <c r="CD307" s="396">
        <v>0</v>
      </c>
      <c r="CE307" s="396">
        <v>1471.9366876656582</v>
      </c>
      <c r="CF307" s="396">
        <v>7.6044255561979561</v>
      </c>
      <c r="CG307" s="396">
        <v>7.8958710326548082E-3</v>
      </c>
      <c r="CH307" s="396">
        <v>0.13357235641720666</v>
      </c>
      <c r="CI307" s="396">
        <v>0.17795856766355564</v>
      </c>
      <c r="CJ307" s="396">
        <v>1438.9129454217411</v>
      </c>
      <c r="CK307" s="396">
        <v>1.6367997293640053</v>
      </c>
      <c r="CL307" s="396">
        <v>2.5822056833558859E-3</v>
      </c>
      <c r="CM307" s="396">
        <v>0.46347767253044653</v>
      </c>
      <c r="CN307" s="396">
        <v>8.6920838971583217E-2</v>
      </c>
      <c r="CO307" s="396">
        <v>1610.2711783057355</v>
      </c>
      <c r="CP307" s="396">
        <v>18.570014398848087</v>
      </c>
      <c r="CQ307" s="396">
        <v>5.2245770338372926E-3</v>
      </c>
      <c r="CR307" s="396">
        <v>0.82406857451403892</v>
      </c>
      <c r="CS307" s="396">
        <v>0.43273338132949363</v>
      </c>
      <c r="CT307" s="396">
        <v>0</v>
      </c>
      <c r="CU307" s="396">
        <v>0</v>
      </c>
      <c r="CV307" s="396">
        <v>0</v>
      </c>
      <c r="CW307" s="396">
        <v>0</v>
      </c>
      <c r="CX307" s="396">
        <v>0</v>
      </c>
      <c r="CY307" s="396">
        <v>1191.3731203496541</v>
      </c>
      <c r="CZ307" s="396">
        <v>4.3850818923403345</v>
      </c>
      <c r="DA307" s="396">
        <v>7.2995473229616522E-3</v>
      </c>
      <c r="DB307" s="396">
        <v>0.12270611836666262</v>
      </c>
      <c r="DC307" s="396">
        <v>0.19413427684409526</v>
      </c>
      <c r="DD307" s="396">
        <v>1097.3826908094652</v>
      </c>
      <c r="DE307" s="396">
        <v>0.69186685938416614</v>
      </c>
      <c r="DF307" s="396">
        <v>5.7408639386173389E-3</v>
      </c>
      <c r="DG307" s="396">
        <v>0.32420201401512844</v>
      </c>
      <c r="DH307" s="396">
        <v>8.3215574939965467E-2</v>
      </c>
      <c r="DI307" s="396">
        <v>1394.7150083414369</v>
      </c>
      <c r="DJ307" s="396">
        <v>16.909951140888506</v>
      </c>
      <c r="DK307" s="396">
        <v>5.1611934350958896E-3</v>
      </c>
      <c r="DL307" s="396">
        <v>0.73545601341766953</v>
      </c>
      <c r="DM307" s="396">
        <v>0.42249303393373838</v>
      </c>
      <c r="DN307" s="396">
        <v>0</v>
      </c>
      <c r="DO307" s="396">
        <v>0</v>
      </c>
      <c r="DP307" s="396">
        <v>0</v>
      </c>
      <c r="DQ307" s="396">
        <v>0</v>
      </c>
      <c r="DR307" s="396">
        <v>0</v>
      </c>
      <c r="DS307" s="396">
        <v>1684.0428706935018</v>
      </c>
      <c r="DT307" s="396">
        <v>11.38886508497014</v>
      </c>
      <c r="DU307" s="396">
        <v>3.777750854724848E-3</v>
      </c>
      <c r="DV307" s="396">
        <v>8.1888402632286583E-2</v>
      </c>
      <c r="DW307" s="396">
        <v>0.12920189236229104</v>
      </c>
      <c r="DX307" s="396">
        <v>1510.2549833046646</v>
      </c>
      <c r="DY307" s="396">
        <v>1.6380628351715065</v>
      </c>
      <c r="DZ307" s="396">
        <v>3.800161894161692E-3</v>
      </c>
      <c r="EA307" s="396">
        <v>0.5388723059799656</v>
      </c>
      <c r="EB307" s="396">
        <v>7.8808813113427093E-2</v>
      </c>
      <c r="EC307" s="396">
        <v>1765.4981704782599</v>
      </c>
      <c r="ED307" s="396">
        <v>19.632458881525814</v>
      </c>
      <c r="EE307" s="396">
        <v>5.7642102905482969E-3</v>
      </c>
      <c r="EF307" s="396">
        <v>1.0124739139704821</v>
      </c>
      <c r="EG307" s="396">
        <v>0.51211748566210602</v>
      </c>
      <c r="EH307" s="396">
        <v>0</v>
      </c>
      <c r="EI307" s="396">
        <v>0</v>
      </c>
      <c r="EJ307" s="396">
        <v>0</v>
      </c>
      <c r="EK307" s="396">
        <v>0</v>
      </c>
      <c r="EL307" s="396">
        <v>0</v>
      </c>
      <c r="EM307" s="396">
        <v>987.85703480616633</v>
      </c>
      <c r="EN307" s="396">
        <v>2.2774798190244376</v>
      </c>
      <c r="EO307" s="396">
        <v>1.0285971643494644E-2</v>
      </c>
      <c r="EP307" s="396">
        <v>0.17144959225490602</v>
      </c>
      <c r="EQ307" s="396">
        <v>0.18935393374314122</v>
      </c>
      <c r="ER307" s="396">
        <v>778.97146463293393</v>
      </c>
      <c r="ES307" s="396">
        <v>0.78291271499758885</v>
      </c>
      <c r="ET307" s="396">
        <v>2.3515005923782648E-3</v>
      </c>
      <c r="EU307" s="396">
        <v>0.30556002071835536</v>
      </c>
      <c r="EV307" s="396">
        <v>0.12767507903338157</v>
      </c>
      <c r="EW307" s="396">
        <v>1642.8174612972518</v>
      </c>
      <c r="EX307" s="396">
        <v>18.488432384385572</v>
      </c>
      <c r="EY307" s="396">
        <v>5.7287844744574211E-3</v>
      </c>
      <c r="EZ307" s="396">
        <v>0.87526233920150109</v>
      </c>
      <c r="FA307" s="396">
        <v>0.46978222759931854</v>
      </c>
      <c r="FB307" s="396">
        <v>0</v>
      </c>
      <c r="FC307" s="396">
        <v>0</v>
      </c>
      <c r="FD307" s="396">
        <v>0</v>
      </c>
      <c r="FE307" s="396">
        <v>0</v>
      </c>
      <c r="FF307" s="396">
        <v>0</v>
      </c>
      <c r="FG307" s="396">
        <v>915.3999165526543</v>
      </c>
      <c r="FH307" s="396">
        <v>1.0936162780543182</v>
      </c>
      <c r="FI307" s="396">
        <v>4.6467848513958021E-3</v>
      </c>
      <c r="FJ307" s="396">
        <v>2.4702937152504875E-2</v>
      </c>
      <c r="FK307" s="396">
        <v>5.8262451605391084E-2</v>
      </c>
      <c r="FL307" s="396">
        <v>718.50806333043477</v>
      </c>
      <c r="FM307" s="396">
        <v>0.69061931586663483</v>
      </c>
      <c r="FN307" s="396">
        <v>1.9830205878522849E-3</v>
      </c>
      <c r="FO307" s="396">
        <v>0.1926785211696555</v>
      </c>
      <c r="FP307" s="396">
        <v>3.4047165967242589E-2</v>
      </c>
      <c r="FQ307" s="396">
        <v>1425.2750411581781</v>
      </c>
      <c r="FR307" s="396">
        <v>16.866490710011234</v>
      </c>
      <c r="FS307" s="396">
        <v>5.0382400850166814E-3</v>
      </c>
      <c r="FT307" s="396">
        <v>0.80029529359500351</v>
      </c>
      <c r="FU307" s="396">
        <v>0.42526894365031664</v>
      </c>
      <c r="FV307" s="396">
        <v>0</v>
      </c>
      <c r="FW307" s="396">
        <v>0</v>
      </c>
      <c r="FX307" s="396">
        <v>0</v>
      </c>
      <c r="FY307" s="396">
        <v>0</v>
      </c>
      <c r="FZ307" s="396">
        <v>0</v>
      </c>
      <c r="GA307" s="396">
        <v>1445.8723837871901</v>
      </c>
      <c r="GB307" s="396">
        <v>1.2510692785219153</v>
      </c>
      <c r="GC307" s="396">
        <v>3.9867999410053232E-3</v>
      </c>
      <c r="GD307" s="396">
        <v>0.37330557901934752</v>
      </c>
      <c r="GE307" s="396">
        <v>7.1949707037796809E-2</v>
      </c>
      <c r="GF307" s="396">
        <v>1578.0747774042193</v>
      </c>
      <c r="GG307" s="396">
        <v>18.279700988904075</v>
      </c>
      <c r="GH307" s="396">
        <v>4.8412581125848201E-3</v>
      </c>
      <c r="GI307" s="396">
        <v>0.73312520781763768</v>
      </c>
      <c r="GJ307" s="396">
        <v>0.39215034297607171</v>
      </c>
      <c r="GK307" s="396">
        <v>0</v>
      </c>
      <c r="GL307" s="396">
        <v>0</v>
      </c>
      <c r="GM307" s="396">
        <v>0</v>
      </c>
      <c r="GN307" s="396">
        <v>0</v>
      </c>
      <c r="GO307" s="396">
        <v>0</v>
      </c>
      <c r="GP307" s="396">
        <v>1413.4974836240276</v>
      </c>
      <c r="GQ307" s="396">
        <v>1.3789935612020576</v>
      </c>
      <c r="GR307" s="396">
        <v>2.3508921696628834E-3</v>
      </c>
      <c r="GS307" s="396">
        <v>0.35345597178980731</v>
      </c>
      <c r="GT307" s="396">
        <v>6.278218562038991E-2</v>
      </c>
      <c r="GU307" s="396">
        <v>1459.0883640435711</v>
      </c>
      <c r="GV307" s="396">
        <v>17.428802300722793</v>
      </c>
      <c r="GW307" s="396">
        <v>0.60830067189249726</v>
      </c>
      <c r="GX307" s="396">
        <v>0.3329978112592894</v>
      </c>
      <c r="GY307" s="396"/>
      <c r="GZ307" s="396">
        <v>0</v>
      </c>
      <c r="HA307" s="396">
        <v>0</v>
      </c>
      <c r="HB307" s="396">
        <v>0</v>
      </c>
      <c r="HC307" s="396">
        <v>0</v>
      </c>
      <c r="HD307" s="487">
        <v>0</v>
      </c>
    </row>
    <row r="308" spans="1:212" x14ac:dyDescent="0.35">
      <c r="B308" s="488">
        <v>2038</v>
      </c>
      <c r="C308" s="396">
        <v>268.49605217628368</v>
      </c>
      <c r="D308" s="396">
        <v>0.76869842401618971</v>
      </c>
      <c r="E308" s="396">
        <v>1.7468202455724606E-3</v>
      </c>
      <c r="F308" s="396">
        <v>2.6294550640145121E-2</v>
      </c>
      <c r="G308" s="396">
        <v>5.848755885036018E-2</v>
      </c>
      <c r="H308" s="396">
        <v>264.12169624739937</v>
      </c>
      <c r="I308" s="396">
        <v>0.59615664517675671</v>
      </c>
      <c r="J308" s="396">
        <v>1.390602659269343E-3</v>
      </c>
      <c r="K308" s="396">
        <v>1.6068117021549842E-2</v>
      </c>
      <c r="L308" s="396">
        <v>5.0996583874861945E-2</v>
      </c>
      <c r="M308" s="396">
        <v>263.11165854006128</v>
      </c>
      <c r="N308" s="396">
        <v>0.7627879515864695</v>
      </c>
      <c r="O308" s="396">
        <v>1.8995286908191412E-3</v>
      </c>
      <c r="P308" s="396">
        <v>2.6916843958997117E-2</v>
      </c>
      <c r="Q308" s="396">
        <v>6.7997495851868442E-2</v>
      </c>
      <c r="R308" s="396">
        <v>0</v>
      </c>
      <c r="S308" s="396">
        <v>0</v>
      </c>
      <c r="T308" s="396">
        <v>0</v>
      </c>
      <c r="U308" s="396">
        <v>0</v>
      </c>
      <c r="V308" s="396">
        <v>0</v>
      </c>
      <c r="W308" s="396">
        <v>344.44398486133224</v>
      </c>
      <c r="X308" s="396">
        <v>0.83728827580501719</v>
      </c>
      <c r="Y308" s="396">
        <v>2.1413976382023865E-3</v>
      </c>
      <c r="Z308" s="396">
        <v>2.8379624842305544E-2</v>
      </c>
      <c r="AA308" s="396">
        <v>6.1669596509006684E-2</v>
      </c>
      <c r="AB308" s="396">
        <v>464.12633496292602</v>
      </c>
      <c r="AC308" s="396">
        <v>0.58827208756841287</v>
      </c>
      <c r="AD308" s="396">
        <v>1.4030879206797895E-3</v>
      </c>
      <c r="AE308" s="396">
        <v>0.3215321035493045</v>
      </c>
      <c r="AF308" s="396">
        <v>5.256579229995962E-2</v>
      </c>
      <c r="AG308" s="396">
        <v>333.75278842303953</v>
      </c>
      <c r="AH308" s="396">
        <v>0.82946820297389423</v>
      </c>
      <c r="AI308" s="396">
        <v>2.3066852243766962E-3</v>
      </c>
      <c r="AJ308" s="396">
        <v>2.8753434553354475E-2</v>
      </c>
      <c r="AK308" s="396">
        <v>7.1072004338606193E-2</v>
      </c>
      <c r="AL308" s="396">
        <v>0</v>
      </c>
      <c r="AM308" s="396">
        <v>0</v>
      </c>
      <c r="AN308" s="396">
        <v>0</v>
      </c>
      <c r="AO308" s="396">
        <v>0</v>
      </c>
      <c r="AP308" s="396">
        <v>0</v>
      </c>
      <c r="AQ308" s="396">
        <v>384.12829304283667</v>
      </c>
      <c r="AR308" s="396">
        <v>0.80853478581658789</v>
      </c>
      <c r="AS308" s="396">
        <v>2.5289483963369642E-3</v>
      </c>
      <c r="AT308" s="396">
        <v>3.1629703571893583E-2</v>
      </c>
      <c r="AU308" s="396">
        <v>6.5253678225771453E-2</v>
      </c>
      <c r="AV308" s="396">
        <v>477.64435713692831</v>
      </c>
      <c r="AW308" s="396">
        <v>0.58718493207536726</v>
      </c>
      <c r="AX308" s="396">
        <v>1.3989015853692278E-3</v>
      </c>
      <c r="AY308" s="396">
        <v>0.33764421879755419</v>
      </c>
      <c r="AZ308" s="396">
        <v>5.1919804664803691E-2</v>
      </c>
      <c r="BA308" s="396">
        <v>325.923922090894</v>
      </c>
      <c r="BB308" s="396">
        <v>0.77942400532711831</v>
      </c>
      <c r="BC308" s="396">
        <v>2.2537595028022861E-3</v>
      </c>
      <c r="BD308" s="396">
        <v>2.8342558681538208E-2</v>
      </c>
      <c r="BE308" s="396">
        <v>6.9627101714666226E-2</v>
      </c>
      <c r="BF308" s="396">
        <v>0</v>
      </c>
      <c r="BG308" s="396">
        <v>0</v>
      </c>
      <c r="BH308" s="396">
        <v>0</v>
      </c>
      <c r="BI308" s="396">
        <v>0</v>
      </c>
      <c r="BJ308" s="396">
        <v>0</v>
      </c>
      <c r="BK308" s="396">
        <v>1492.585588054284</v>
      </c>
      <c r="BL308" s="396">
        <v>7.4427915564200591</v>
      </c>
      <c r="BM308" s="396">
        <v>7.5986379583750738E-3</v>
      </c>
      <c r="BN308" s="396">
        <v>0.12511174401523761</v>
      </c>
      <c r="BO308" s="396">
        <v>0.16685009905348891</v>
      </c>
      <c r="BP308" s="396">
        <v>1439.0302696373842</v>
      </c>
      <c r="BQ308" s="396">
        <v>1.7630221426357657</v>
      </c>
      <c r="BR308" s="396">
        <v>2.6779296807741314E-3</v>
      </c>
      <c r="BS308" s="396">
        <v>0.5099610868142842</v>
      </c>
      <c r="BT308" s="396">
        <v>8.7786769516856641E-2</v>
      </c>
      <c r="BU308" s="396">
        <v>1666.4858296080899</v>
      </c>
      <c r="BV308" s="396">
        <v>19.121956512304155</v>
      </c>
      <c r="BW308" s="396">
        <v>5.8008332971659212E-3</v>
      </c>
      <c r="BX308" s="396">
        <v>0.91963890456143393</v>
      </c>
      <c r="BY308" s="396">
        <v>0.48688858990495204</v>
      </c>
      <c r="BZ308" s="396">
        <v>0</v>
      </c>
      <c r="CA308" s="396">
        <v>0</v>
      </c>
      <c r="CB308" s="396">
        <v>0</v>
      </c>
      <c r="CC308" s="396">
        <v>0</v>
      </c>
      <c r="CD308" s="396">
        <v>0</v>
      </c>
      <c r="CE308" s="396">
        <v>1471.9374487942152</v>
      </c>
      <c r="CF308" s="396">
        <v>7.6044241798169052</v>
      </c>
      <c r="CG308" s="396">
        <v>7.8958786022156526E-3</v>
      </c>
      <c r="CH308" s="396">
        <v>0.1335721155558722</v>
      </c>
      <c r="CI308" s="396">
        <v>0.1768425177216543</v>
      </c>
      <c r="CJ308" s="396">
        <v>1438.8833547417446</v>
      </c>
      <c r="CK308" s="396">
        <v>1.636347550266076</v>
      </c>
      <c r="CL308" s="396">
        <v>2.5849345951188822E-3</v>
      </c>
      <c r="CM308" s="396">
        <v>0.46342656914916852</v>
      </c>
      <c r="CN308" s="396">
        <v>8.6917057697853045E-2</v>
      </c>
      <c r="CO308" s="396">
        <v>1610.2628202657386</v>
      </c>
      <c r="CP308" s="396">
        <v>18.570044106229386</v>
      </c>
      <c r="CQ308" s="396">
        <v>5.2245645817617162E-3</v>
      </c>
      <c r="CR308" s="396">
        <v>0.82406515167366901</v>
      </c>
      <c r="CS308" s="396">
        <v>0.43273249379153883</v>
      </c>
      <c r="CT308" s="396">
        <v>0</v>
      </c>
      <c r="CU308" s="396">
        <v>0</v>
      </c>
      <c r="CV308" s="396">
        <v>0</v>
      </c>
      <c r="CW308" s="396">
        <v>0</v>
      </c>
      <c r="CX308" s="396">
        <v>0</v>
      </c>
      <c r="CY308" s="396">
        <v>1191.0933846480873</v>
      </c>
      <c r="CZ308" s="396">
        <v>4.3812469932761262</v>
      </c>
      <c r="DA308" s="396">
        <v>7.3041853596321447E-3</v>
      </c>
      <c r="DB308" s="396">
        <v>0.12269279393173198</v>
      </c>
      <c r="DC308" s="396">
        <v>0.19290189409619277</v>
      </c>
      <c r="DD308" s="396">
        <v>1097.3410790182413</v>
      </c>
      <c r="DE308" s="396">
        <v>0.69124009647616869</v>
      </c>
      <c r="DF308" s="396">
        <v>5.743415983662137E-3</v>
      </c>
      <c r="DG308" s="396">
        <v>0.32413742529978029</v>
      </c>
      <c r="DH308" s="396">
        <v>8.3211097371215265E-2</v>
      </c>
      <c r="DI308" s="396">
        <v>1394.7187413298807</v>
      </c>
      <c r="DJ308" s="396">
        <v>16.909969481180063</v>
      </c>
      <c r="DK308" s="396">
        <v>5.1612064182003136E-3</v>
      </c>
      <c r="DL308" s="396">
        <v>0.73545731989272167</v>
      </c>
      <c r="DM308" s="396">
        <v>0.42249491353001017</v>
      </c>
      <c r="DN308" s="396">
        <v>0</v>
      </c>
      <c r="DO308" s="396">
        <v>0</v>
      </c>
      <c r="DP308" s="396">
        <v>0</v>
      </c>
      <c r="DQ308" s="396">
        <v>0</v>
      </c>
      <c r="DR308" s="396">
        <v>0</v>
      </c>
      <c r="DS308" s="396">
        <v>1684.0459327912329</v>
      </c>
      <c r="DT308" s="396">
        <v>11.388884031360204</v>
      </c>
      <c r="DU308" s="396">
        <v>3.7777680627204104E-3</v>
      </c>
      <c r="DV308" s="396">
        <v>8.1888607152225235E-2</v>
      </c>
      <c r="DW308" s="396">
        <v>0.12842703506164205</v>
      </c>
      <c r="DX308" s="396">
        <v>1510.0919048218557</v>
      </c>
      <c r="DY308" s="396">
        <v>1.6356792144026187</v>
      </c>
      <c r="DZ308" s="396">
        <v>3.8134458013345082E-3</v>
      </c>
      <c r="EA308" s="396">
        <v>0.53856477401485581</v>
      </c>
      <c r="EB308" s="396">
        <v>7.8781316882789887E-2</v>
      </c>
      <c r="EC308" s="396">
        <v>1765.5001870922608</v>
      </c>
      <c r="ED308" s="396">
        <v>19.632485724047051</v>
      </c>
      <c r="EE308" s="396">
        <v>5.7642312134966725E-3</v>
      </c>
      <c r="EF308" s="396">
        <v>1.0124762067450828</v>
      </c>
      <c r="EG308" s="396">
        <v>0.51211829111555796</v>
      </c>
      <c r="EH308" s="396">
        <v>0</v>
      </c>
      <c r="EI308" s="396">
        <v>0</v>
      </c>
      <c r="EJ308" s="396">
        <v>0</v>
      </c>
      <c r="EK308" s="396">
        <v>0</v>
      </c>
      <c r="EL308" s="396">
        <v>0</v>
      </c>
      <c r="EM308" s="396">
        <v>987.55937417418227</v>
      </c>
      <c r="EN308" s="396">
        <v>2.2729890704087925</v>
      </c>
      <c r="EO308" s="396">
        <v>1.0281743584878813E-2</v>
      </c>
      <c r="EP308" s="396">
        <v>0.1711968342808356</v>
      </c>
      <c r="EQ308" s="396">
        <v>0.18871805991286139</v>
      </c>
      <c r="ER308" s="396">
        <v>777.50663596767811</v>
      </c>
      <c r="ES308" s="396">
        <v>0.78121691181862174</v>
      </c>
      <c r="ET308" s="396">
        <v>2.3446596958453707E-3</v>
      </c>
      <c r="EU308" s="396">
        <v>0.30504333543533413</v>
      </c>
      <c r="EV308" s="396">
        <v>0.12761618442857353</v>
      </c>
      <c r="EW308" s="396">
        <v>1642.8150279474542</v>
      </c>
      <c r="EX308" s="396">
        <v>18.488420084431969</v>
      </c>
      <c r="EY308" s="396">
        <v>5.7287799816042075E-3</v>
      </c>
      <c r="EZ308" s="396">
        <v>0.87526237588736122</v>
      </c>
      <c r="FA308" s="396">
        <v>0.46978137308082357</v>
      </c>
      <c r="FB308" s="396">
        <v>0</v>
      </c>
      <c r="FC308" s="396">
        <v>0</v>
      </c>
      <c r="FD308" s="396">
        <v>0</v>
      </c>
      <c r="FE308" s="396">
        <v>0</v>
      </c>
      <c r="FF308" s="396">
        <v>0</v>
      </c>
      <c r="FG308" s="396">
        <v>915.1471108518756</v>
      </c>
      <c r="FH308" s="396">
        <v>1.0907334984366186</v>
      </c>
      <c r="FI308" s="396">
        <v>4.6498981650586633E-3</v>
      </c>
      <c r="FJ308" s="396">
        <v>2.4673506659909542E-2</v>
      </c>
      <c r="FK308" s="396">
        <v>5.7823122746961692E-2</v>
      </c>
      <c r="FL308" s="396">
        <v>717.18480316883483</v>
      </c>
      <c r="FM308" s="396">
        <v>0.6892671034713973</v>
      </c>
      <c r="FN308" s="396">
        <v>1.9776575621991447E-3</v>
      </c>
      <c r="FO308" s="396">
        <v>0.19215986556458323</v>
      </c>
      <c r="FP308" s="396">
        <v>3.399461099406878E-2</v>
      </c>
      <c r="FQ308" s="396">
        <v>1425.2622995831493</v>
      </c>
      <c r="FR308" s="396">
        <v>16.866466423157245</v>
      </c>
      <c r="FS308" s="396">
        <v>5.0382154475941653E-3</v>
      </c>
      <c r="FT308" s="396">
        <v>0.80029204489670269</v>
      </c>
      <c r="FU308" s="396">
        <v>0.42526729180360601</v>
      </c>
      <c r="FV308" s="396">
        <v>0</v>
      </c>
      <c r="FW308" s="396">
        <v>0</v>
      </c>
      <c r="FX308" s="396">
        <v>0</v>
      </c>
      <c r="FY308" s="396">
        <v>0</v>
      </c>
      <c r="FZ308" s="396">
        <v>0</v>
      </c>
      <c r="GA308" s="396">
        <v>1445.647805819</v>
      </c>
      <c r="GB308" s="396">
        <v>1.2485264962760541</v>
      </c>
      <c r="GC308" s="396">
        <v>4.0021030916787227E-3</v>
      </c>
      <c r="GD308" s="396">
        <v>0.37295383914697527</v>
      </c>
      <c r="GE308" s="396">
        <v>7.1913679472753581E-2</v>
      </c>
      <c r="GF308" s="396">
        <v>1578.0631303147072</v>
      </c>
      <c r="GG308" s="396">
        <v>18.27961335780336</v>
      </c>
      <c r="GH308" s="396">
        <v>4.8412595377052853E-3</v>
      </c>
      <c r="GI308" s="396">
        <v>0.73312128597477855</v>
      </c>
      <c r="GJ308" s="396">
        <v>0.3921509037584312</v>
      </c>
      <c r="GK308" s="396">
        <v>0</v>
      </c>
      <c r="GL308" s="396">
        <v>0</v>
      </c>
      <c r="GM308" s="396">
        <v>0</v>
      </c>
      <c r="GN308" s="396">
        <v>0</v>
      </c>
      <c r="GO308" s="396">
        <v>0</v>
      </c>
      <c r="GP308" s="396">
        <v>1413.4725176312547</v>
      </c>
      <c r="GQ308" s="396">
        <v>1.3785682301578417</v>
      </c>
      <c r="GR308" s="396">
        <v>2.3539852233292287E-3</v>
      </c>
      <c r="GS308" s="396">
        <v>0.35339471622075452</v>
      </c>
      <c r="GT308" s="396">
        <v>6.2776502854584124E-2</v>
      </c>
      <c r="GU308" s="396">
        <v>1459.0848978556635</v>
      </c>
      <c r="GV308" s="396">
        <v>17.42872843435045</v>
      </c>
      <c r="GW308" s="396">
        <v>0.60830077476313249</v>
      </c>
      <c r="GX308" s="396">
        <v>0.33299657606628064</v>
      </c>
      <c r="GY308" s="396"/>
      <c r="GZ308" s="396">
        <v>0</v>
      </c>
      <c r="HA308" s="396">
        <v>0</v>
      </c>
      <c r="HB308" s="396">
        <v>0</v>
      </c>
      <c r="HC308" s="396">
        <v>0</v>
      </c>
      <c r="HD308" s="487">
        <v>0</v>
      </c>
    </row>
    <row r="309" spans="1:212" x14ac:dyDescent="0.35">
      <c r="B309" s="488">
        <v>2039</v>
      </c>
      <c r="C309" s="396">
        <v>268.89287292595714</v>
      </c>
      <c r="D309" s="396">
        <v>0.76473424129203327</v>
      </c>
      <c r="E309" s="396">
        <v>1.732895424048853E-3</v>
      </c>
      <c r="F309" s="396">
        <v>2.6039833674822228E-2</v>
      </c>
      <c r="G309" s="396">
        <v>5.757954682415331E-2</v>
      </c>
      <c r="H309" s="396">
        <v>264.53676310549696</v>
      </c>
      <c r="I309" s="396">
        <v>0.59474329106577128</v>
      </c>
      <c r="J309" s="396">
        <v>1.3812423922419004E-3</v>
      </c>
      <c r="K309" s="396">
        <v>1.5947715052679948E-2</v>
      </c>
      <c r="L309" s="396">
        <v>5.0512692360400159E-2</v>
      </c>
      <c r="M309" s="396">
        <v>263.49885483163587</v>
      </c>
      <c r="N309" s="396">
        <v>0.75889576531358127</v>
      </c>
      <c r="O309" s="396">
        <v>1.8839822620729985E-3</v>
      </c>
      <c r="P309" s="396">
        <v>2.6655621071097899E-2</v>
      </c>
      <c r="Q309" s="396">
        <v>6.6854636713610444E-2</v>
      </c>
      <c r="R309" s="396">
        <v>0</v>
      </c>
      <c r="S309" s="396">
        <v>0</v>
      </c>
      <c r="T309" s="396">
        <v>0</v>
      </c>
      <c r="U309" s="396">
        <v>0</v>
      </c>
      <c r="V309" s="396">
        <v>0</v>
      </c>
      <c r="W309" s="396">
        <v>344.58362966950494</v>
      </c>
      <c r="X309" s="396">
        <v>0.8319567617692939</v>
      </c>
      <c r="Y309" s="396">
        <v>2.1178049250089393E-3</v>
      </c>
      <c r="Z309" s="396">
        <v>2.802017312581288E-2</v>
      </c>
      <c r="AA309" s="396">
        <v>6.0583621810866142E-2</v>
      </c>
      <c r="AB309" s="396">
        <v>463.93840576778359</v>
      </c>
      <c r="AC309" s="396">
        <v>0.58699092917310636</v>
      </c>
      <c r="AD309" s="396">
        <v>1.3965836725115914E-3</v>
      </c>
      <c r="AE309" s="396">
        <v>0.3185608052887533</v>
      </c>
      <c r="AF309" s="396">
        <v>5.1986276429606015E-2</v>
      </c>
      <c r="AG309" s="396">
        <v>333.88339936799218</v>
      </c>
      <c r="AH309" s="396">
        <v>0.82426492998187384</v>
      </c>
      <c r="AI309" s="396">
        <v>2.2802208819236135E-3</v>
      </c>
      <c r="AJ309" s="396">
        <v>2.8386816060056781E-2</v>
      </c>
      <c r="AK309" s="396">
        <v>6.9731196163038758E-2</v>
      </c>
      <c r="AL309" s="396">
        <v>0</v>
      </c>
      <c r="AM309" s="396">
        <v>0</v>
      </c>
      <c r="AN309" s="396">
        <v>0</v>
      </c>
      <c r="AO309" s="396">
        <v>0</v>
      </c>
      <c r="AP309" s="396">
        <v>0</v>
      </c>
      <c r="AQ309" s="396">
        <v>384.26042228637556</v>
      </c>
      <c r="AR309" s="396">
        <v>0.80282594997961454</v>
      </c>
      <c r="AS309" s="396">
        <v>2.5066818767734258E-3</v>
      </c>
      <c r="AT309" s="396">
        <v>3.1249768347877651E-2</v>
      </c>
      <c r="AU309" s="396">
        <v>6.4138398243973965E-2</v>
      </c>
      <c r="AV309" s="396">
        <v>477.41973287151723</v>
      </c>
      <c r="AW309" s="396">
        <v>0.58596387287470741</v>
      </c>
      <c r="AX309" s="396">
        <v>1.3930558313503237E-3</v>
      </c>
      <c r="AY309" s="396">
        <v>0.33449980956597314</v>
      </c>
      <c r="AZ309" s="396">
        <v>5.1352407118651792E-2</v>
      </c>
      <c r="BA309" s="396">
        <v>326.04912428062391</v>
      </c>
      <c r="BB309" s="396">
        <v>0.77427504609912789</v>
      </c>
      <c r="BC309" s="396">
        <v>2.2275754811699007E-3</v>
      </c>
      <c r="BD309" s="396">
        <v>2.7979644200040687E-2</v>
      </c>
      <c r="BE309" s="396">
        <v>6.8323172932429496E-2</v>
      </c>
      <c r="BF309" s="396">
        <v>0</v>
      </c>
      <c r="BG309" s="396">
        <v>0</v>
      </c>
      <c r="BH309" s="396">
        <v>0</v>
      </c>
      <c r="BI309" s="396">
        <v>0</v>
      </c>
      <c r="BJ309" s="396">
        <v>0</v>
      </c>
      <c r="BK309" s="396">
        <v>1492.5850675779036</v>
      </c>
      <c r="BL309" s="396">
        <v>7.4427586177178426</v>
      </c>
      <c r="BM309" s="396">
        <v>7.5986090134035431E-3</v>
      </c>
      <c r="BN309" s="396">
        <v>0.12511122937274174</v>
      </c>
      <c r="BO309" s="396">
        <v>0.16582171843725152</v>
      </c>
      <c r="BP309" s="396">
        <v>1439.0012066954746</v>
      </c>
      <c r="BQ309" s="396">
        <v>1.7625371615016956</v>
      </c>
      <c r="BR309" s="396">
        <v>2.6805155758094635E-3</v>
      </c>
      <c r="BS309" s="396">
        <v>0.50990231833840061</v>
      </c>
      <c r="BT309" s="396">
        <v>8.7782039787244096E-2</v>
      </c>
      <c r="BU309" s="396">
        <v>1666.4893788479515</v>
      </c>
      <c r="BV309" s="396">
        <v>19.122022370499309</v>
      </c>
      <c r="BW309" s="396">
        <v>5.8008574283596043E-3</v>
      </c>
      <c r="BX309" s="396">
        <v>0.91964026689875256</v>
      </c>
      <c r="BY309" s="396">
        <v>0.48688875995229342</v>
      </c>
      <c r="BZ309" s="396">
        <v>0</v>
      </c>
      <c r="CA309" s="396">
        <v>0</v>
      </c>
      <c r="CB309" s="396">
        <v>0</v>
      </c>
      <c r="CC309" s="396">
        <v>0</v>
      </c>
      <c r="CD309" s="396">
        <v>0</v>
      </c>
      <c r="CE309" s="396">
        <v>1471.9320772871572</v>
      </c>
      <c r="CF309" s="396">
        <v>7.6044098265680535</v>
      </c>
      <c r="CG309" s="396">
        <v>7.8958459677665269E-3</v>
      </c>
      <c r="CH309" s="396">
        <v>0.13357173591183058</v>
      </c>
      <c r="CI309" s="396">
        <v>0.17575306868501384</v>
      </c>
      <c r="CJ309" s="396">
        <v>1438.853694940552</v>
      </c>
      <c r="CK309" s="396">
        <v>1.6359016435149851</v>
      </c>
      <c r="CL309" s="396">
        <v>2.5876244508896014E-3</v>
      </c>
      <c r="CM309" s="396">
        <v>0.4633749724384742</v>
      </c>
      <c r="CN309" s="396">
        <v>8.6913151512067716E-2</v>
      </c>
      <c r="CO309" s="396">
        <v>1610.272799156563</v>
      </c>
      <c r="CP309" s="396">
        <v>18.570060013786954</v>
      </c>
      <c r="CQ309" s="396">
        <v>5.224570171525892E-3</v>
      </c>
      <c r="CR309" s="396">
        <v>0.82406684643769523</v>
      </c>
      <c r="CS309" s="396">
        <v>0.43273285754835572</v>
      </c>
      <c r="CT309" s="396">
        <v>0</v>
      </c>
      <c r="CU309" s="396">
        <v>0</v>
      </c>
      <c r="CV309" s="396">
        <v>0</v>
      </c>
      <c r="CW309" s="396">
        <v>0</v>
      </c>
      <c r="CX309" s="396">
        <v>0</v>
      </c>
      <c r="CY309" s="396">
        <v>1190.8214523759207</v>
      </c>
      <c r="CZ309" s="396">
        <v>4.3775624664705024</v>
      </c>
      <c r="DA309" s="396">
        <v>7.3086989742005759E-3</v>
      </c>
      <c r="DB309" s="396">
        <v>0.12267975875018287</v>
      </c>
      <c r="DC309" s="396">
        <v>0.19171340475455054</v>
      </c>
      <c r="DD309" s="396">
        <v>1097.2961360817897</v>
      </c>
      <c r="DE309" s="396">
        <v>0.69063656514564142</v>
      </c>
      <c r="DF309" s="396">
        <v>5.7458621800818297E-3</v>
      </c>
      <c r="DG309" s="396">
        <v>0.32407503246784947</v>
      </c>
      <c r="DH309" s="396">
        <v>8.3206651759122729E-2</v>
      </c>
      <c r="DI309" s="396">
        <v>1394.7133017264512</v>
      </c>
      <c r="DJ309" s="396">
        <v>16.90988684139905</v>
      </c>
      <c r="DK309" s="396">
        <v>5.1611839162715801E-3</v>
      </c>
      <c r="DL309" s="396">
        <v>0.73545542982377676</v>
      </c>
      <c r="DM309" s="396">
        <v>0.42249418552643347</v>
      </c>
      <c r="DN309" s="396">
        <v>0</v>
      </c>
      <c r="DO309" s="396">
        <v>0</v>
      </c>
      <c r="DP309" s="396">
        <v>0</v>
      </c>
      <c r="DQ309" s="396">
        <v>0</v>
      </c>
      <c r="DR309" s="396">
        <v>0</v>
      </c>
      <c r="DS309" s="396">
        <v>1684.0449671453819</v>
      </c>
      <c r="DT309" s="396">
        <v>11.388860857305142</v>
      </c>
      <c r="DU309" s="396">
        <v>3.7777476638478106E-3</v>
      </c>
      <c r="DV309" s="396">
        <v>8.1888297182201128E-2</v>
      </c>
      <c r="DW309" s="396">
        <v>0.12765179583139916</v>
      </c>
      <c r="DX309" s="396">
        <v>1509.9314775806508</v>
      </c>
      <c r="DY309" s="396">
        <v>1.6333321602911826</v>
      </c>
      <c r="DZ309" s="396">
        <v>3.8265975577262421E-3</v>
      </c>
      <c r="EA309" s="396">
        <v>0.53826547284491211</v>
      </c>
      <c r="EB309" s="396">
        <v>7.8754782241482454E-2</v>
      </c>
      <c r="EC309" s="396">
        <v>1765.5030389041433</v>
      </c>
      <c r="ED309" s="396">
        <v>19.632554839107762</v>
      </c>
      <c r="EE309" s="396">
        <v>5.7642381143368391E-3</v>
      </c>
      <c r="EF309" s="396">
        <v>1.0124737759540925</v>
      </c>
      <c r="EG309" s="396">
        <v>0.51211898003887324</v>
      </c>
      <c r="EH309" s="396">
        <v>0</v>
      </c>
      <c r="EI309" s="396">
        <v>0</v>
      </c>
      <c r="EJ309" s="396">
        <v>0</v>
      </c>
      <c r="EK309" s="396">
        <v>0</v>
      </c>
      <c r="EL309" s="396">
        <v>0</v>
      </c>
      <c r="EM309" s="396">
        <v>987.26554002069349</v>
      </c>
      <c r="EN309" s="396">
        <v>2.2686108826572573</v>
      </c>
      <c r="EO309" s="396">
        <v>1.0277438781736663E-2</v>
      </c>
      <c r="EP309" s="396">
        <v>0.1709488499190831</v>
      </c>
      <c r="EQ309" s="396">
        <v>0.18808465762873741</v>
      </c>
      <c r="ER309" s="396">
        <v>776.10496246213916</v>
      </c>
      <c r="ES309" s="396">
        <v>0.77959892625927685</v>
      </c>
      <c r="ET309" s="396">
        <v>2.3380991344042032E-3</v>
      </c>
      <c r="EU309" s="396">
        <v>0.30454904325108018</v>
      </c>
      <c r="EV309" s="396">
        <v>0.12755953662632963</v>
      </c>
      <c r="EW309" s="396">
        <v>1642.8219732999116</v>
      </c>
      <c r="EX309" s="396">
        <v>18.48846838176874</v>
      </c>
      <c r="EY309" s="396">
        <v>5.7287691774000424E-3</v>
      </c>
      <c r="EZ309" s="396">
        <v>0.87526716873873966</v>
      </c>
      <c r="FA309" s="396">
        <v>0.4697827960117722</v>
      </c>
      <c r="FB309" s="396">
        <v>0</v>
      </c>
      <c r="FC309" s="396">
        <v>0</v>
      </c>
      <c r="FD309" s="396">
        <v>0</v>
      </c>
      <c r="FE309" s="396">
        <v>0</v>
      </c>
      <c r="FF309" s="396">
        <v>0</v>
      </c>
      <c r="FG309" s="396">
        <v>914.90050729114012</v>
      </c>
      <c r="FH309" s="396">
        <v>1.0879429437861516</v>
      </c>
      <c r="FI309" s="396">
        <v>4.6529080324217067E-3</v>
      </c>
      <c r="FJ309" s="396">
        <v>2.4644896201868178E-2</v>
      </c>
      <c r="FK309" s="396">
        <v>5.7384549147339065E-2</v>
      </c>
      <c r="FL309" s="396">
        <v>715.91323442425028</v>
      </c>
      <c r="FM309" s="396">
        <v>0.68797452456386277</v>
      </c>
      <c r="FN309" s="396">
        <v>1.9724988453404422E-3</v>
      </c>
      <c r="FO309" s="396">
        <v>0.19166376313678463</v>
      </c>
      <c r="FP309" s="396">
        <v>3.3944114477405134E-2</v>
      </c>
      <c r="FQ309" s="396">
        <v>1425.271020363045</v>
      </c>
      <c r="FR309" s="396">
        <v>16.866507173255641</v>
      </c>
      <c r="FS309" s="396">
        <v>5.0382389400794314E-3</v>
      </c>
      <c r="FT309" s="396">
        <v>0.80029372053911929</v>
      </c>
      <c r="FU309" s="396">
        <v>0.42526865164901978</v>
      </c>
      <c r="FV309" s="396">
        <v>0</v>
      </c>
      <c r="FW309" s="396">
        <v>0</v>
      </c>
      <c r="FX309" s="396">
        <v>0</v>
      </c>
      <c r="FY309" s="396">
        <v>0</v>
      </c>
      <c r="FZ309" s="396">
        <v>0</v>
      </c>
      <c r="GA309" s="396">
        <v>1445.4282525713252</v>
      </c>
      <c r="GB309" s="396">
        <v>1.2460227824938752</v>
      </c>
      <c r="GC309" s="396">
        <v>4.0170986001400863E-3</v>
      </c>
      <c r="GD309" s="396">
        <v>0.37261006679245412</v>
      </c>
      <c r="GE309" s="396">
        <v>7.1878131419934516E-2</v>
      </c>
      <c r="GF309" s="396">
        <v>1578.0784223801879</v>
      </c>
      <c r="GG309" s="396">
        <v>18.279758012235277</v>
      </c>
      <c r="GH309" s="396">
        <v>4.8412839959121393E-3</v>
      </c>
      <c r="GI309" s="396">
        <v>0.73312837411285781</v>
      </c>
      <c r="GJ309" s="396">
        <v>0.39215436486704547</v>
      </c>
      <c r="GK309" s="396">
        <v>0</v>
      </c>
      <c r="GL309" s="396">
        <v>0</v>
      </c>
      <c r="GM309" s="396">
        <v>0</v>
      </c>
      <c r="GN309" s="396">
        <v>0</v>
      </c>
      <c r="GO309" s="396">
        <v>0</v>
      </c>
      <c r="GP309" s="396">
        <v>1413.4509619685543</v>
      </c>
      <c r="GQ309" s="396">
        <v>1.378148305478115</v>
      </c>
      <c r="GR309" s="396">
        <v>2.3570522324028254E-3</v>
      </c>
      <c r="GS309" s="396">
        <v>0.35333601523620906</v>
      </c>
      <c r="GT309" s="396">
        <v>6.2770874534769552E-2</v>
      </c>
      <c r="GU309" s="396">
        <v>1459.0873803157078</v>
      </c>
      <c r="GV309" s="396">
        <v>17.428793237298368</v>
      </c>
      <c r="GW309" s="396">
        <v>0.60829811092900887</v>
      </c>
      <c r="GX309" s="396">
        <v>0.33299692343080595</v>
      </c>
      <c r="GY309" s="396"/>
      <c r="GZ309" s="396">
        <v>0</v>
      </c>
      <c r="HA309" s="396">
        <v>0</v>
      </c>
      <c r="HB309" s="396">
        <v>0</v>
      </c>
      <c r="HC309" s="396">
        <v>0</v>
      </c>
      <c r="HD309" s="487">
        <v>0</v>
      </c>
    </row>
    <row r="310" spans="1:212" x14ac:dyDescent="0.35">
      <c r="B310" s="489">
        <v>2040</v>
      </c>
      <c r="C310" s="397">
        <v>269.22718159044905</v>
      </c>
      <c r="D310" s="397">
        <v>0.76003827309487981</v>
      </c>
      <c r="E310" s="397">
        <v>1.7163896354920451E-3</v>
      </c>
      <c r="F310" s="397">
        <v>2.5729136114703885E-2</v>
      </c>
      <c r="G310" s="397">
        <v>5.6593213737925467E-2</v>
      </c>
      <c r="H310" s="397">
        <v>264.89241266417304</v>
      </c>
      <c r="I310" s="397">
        <v>0.59306514904651531</v>
      </c>
      <c r="J310" s="397">
        <v>1.3701340921434091E-3</v>
      </c>
      <c r="K310" s="397">
        <v>1.5795603185166488E-2</v>
      </c>
      <c r="L310" s="397">
        <v>4.9928479090651796E-2</v>
      </c>
      <c r="M310" s="397">
        <v>263.82210529261948</v>
      </c>
      <c r="N310" s="397">
        <v>0.75427430565273768</v>
      </c>
      <c r="O310" s="397">
        <v>1.8655340666312145E-3</v>
      </c>
      <c r="P310" s="397">
        <v>2.6336775914989691E-2</v>
      </c>
      <c r="Q310" s="397">
        <v>6.5632865925905198E-2</v>
      </c>
      <c r="R310" s="397">
        <v>0</v>
      </c>
      <c r="S310" s="397">
        <v>0</v>
      </c>
      <c r="T310" s="397">
        <v>0</v>
      </c>
      <c r="U310" s="397">
        <v>0</v>
      </c>
      <c r="V310" s="397">
        <v>0</v>
      </c>
      <c r="W310" s="397">
        <v>344.74044829868086</v>
      </c>
      <c r="X310" s="397">
        <v>0.82766164453667612</v>
      </c>
      <c r="Y310" s="397">
        <v>2.0987966759085856E-3</v>
      </c>
      <c r="Z310" s="397">
        <v>2.7737192068821366E-2</v>
      </c>
      <c r="AA310" s="397">
        <v>5.9680675766113842E-2</v>
      </c>
      <c r="AB310" s="397">
        <v>463.79247997661054</v>
      </c>
      <c r="AC310" s="397">
        <v>0.58595323644141484</v>
      </c>
      <c r="AD310" s="397">
        <v>1.3913197356374017E-3</v>
      </c>
      <c r="AE310" s="397">
        <v>0.3161733590822709</v>
      </c>
      <c r="AF310" s="397">
        <v>5.1519315550152718E-2</v>
      </c>
      <c r="AG310" s="397">
        <v>334.0320521371267</v>
      </c>
      <c r="AH310" s="397">
        <v>0.8200697448405968</v>
      </c>
      <c r="AI310" s="397">
        <v>2.2588753168054573E-3</v>
      </c>
      <c r="AJ310" s="397">
        <v>2.8097833336509326E-2</v>
      </c>
      <c r="AK310" s="397">
        <v>6.8600529755893064E-2</v>
      </c>
      <c r="AL310" s="397">
        <v>0</v>
      </c>
      <c r="AM310" s="397">
        <v>0</v>
      </c>
      <c r="AN310" s="397">
        <v>0</v>
      </c>
      <c r="AO310" s="397">
        <v>0</v>
      </c>
      <c r="AP310" s="397">
        <v>0</v>
      </c>
      <c r="AQ310" s="397">
        <v>384.41095885037589</v>
      </c>
      <c r="AR310" s="397">
        <v>0.79822935605280554</v>
      </c>
      <c r="AS310" s="397">
        <v>2.4888059921038853E-3</v>
      </c>
      <c r="AT310" s="397">
        <v>3.094978926042077E-2</v>
      </c>
      <c r="AU310" s="397">
        <v>6.3207948677214423E-2</v>
      </c>
      <c r="AV310" s="397">
        <v>477.2438483727056</v>
      </c>
      <c r="AW310" s="397">
        <v>0.58497886851486003</v>
      </c>
      <c r="AX310" s="397">
        <v>1.3883493944987031E-3</v>
      </c>
      <c r="AY310" s="397">
        <v>0.33196991198048542</v>
      </c>
      <c r="AZ310" s="397">
        <v>5.0895498854540568E-2</v>
      </c>
      <c r="BA310" s="397">
        <v>326.19194467806744</v>
      </c>
      <c r="BB310" s="397">
        <v>0.77012740242344946</v>
      </c>
      <c r="BC310" s="397">
        <v>2.2064729153038654E-3</v>
      </c>
      <c r="BD310" s="397">
        <v>2.7693735787932595E-2</v>
      </c>
      <c r="BE310" s="397">
        <v>6.7224869949848928E-2</v>
      </c>
      <c r="BF310" s="397">
        <v>0</v>
      </c>
      <c r="BG310" s="397">
        <v>0</v>
      </c>
      <c r="BH310" s="397">
        <v>0</v>
      </c>
      <c r="BI310" s="397">
        <v>0</v>
      </c>
      <c r="BJ310" s="397">
        <v>0</v>
      </c>
      <c r="BK310" s="397">
        <v>1492.589316823457</v>
      </c>
      <c r="BL310" s="397">
        <v>7.4427937316897674</v>
      </c>
      <c r="BM310" s="397">
        <v>7.598635584886289E-3</v>
      </c>
      <c r="BN310" s="397">
        <v>0.12511158804477129</v>
      </c>
      <c r="BO310" s="397">
        <v>0.16480291438078684</v>
      </c>
      <c r="BP310" s="397">
        <v>1438.976287365314</v>
      </c>
      <c r="BQ310" s="397">
        <v>1.7620453215701486</v>
      </c>
      <c r="BR310" s="397">
        <v>2.6831566006850173E-3</v>
      </c>
      <c r="BS310" s="397">
        <v>0.50984399755444965</v>
      </c>
      <c r="BT310" s="397">
        <v>8.7778164916871015E-2</v>
      </c>
      <c r="BU310" s="397">
        <v>1666.4816808137391</v>
      </c>
      <c r="BV310" s="397">
        <v>19.121937956489838</v>
      </c>
      <c r="BW310" s="397">
        <v>5.8008335537023861E-3</v>
      </c>
      <c r="BX310" s="397">
        <v>0.91963544130299568</v>
      </c>
      <c r="BY310" s="397">
        <v>0.48688773096849397</v>
      </c>
      <c r="BZ310" s="397">
        <v>0</v>
      </c>
      <c r="CA310" s="397">
        <v>0</v>
      </c>
      <c r="CB310" s="397">
        <v>0</v>
      </c>
      <c r="CC310" s="397">
        <v>0</v>
      </c>
      <c r="CD310" s="397">
        <v>0</v>
      </c>
      <c r="CE310" s="397">
        <v>1471.9355399463047</v>
      </c>
      <c r="CF310" s="397">
        <v>7.6044127967242039</v>
      </c>
      <c r="CG310" s="397">
        <v>7.8958415153134471E-3</v>
      </c>
      <c r="CH310" s="397">
        <v>0.13357208619568506</v>
      </c>
      <c r="CI310" s="397">
        <v>0.17467341827569999</v>
      </c>
      <c r="CJ310" s="397">
        <v>1438.8213460125069</v>
      </c>
      <c r="CK310" s="397">
        <v>1.635440917433453</v>
      </c>
      <c r="CL310" s="397">
        <v>2.5903616931295141E-3</v>
      </c>
      <c r="CM310" s="397">
        <v>0.46332154925702834</v>
      </c>
      <c r="CN310" s="397">
        <v>8.690899983165605E-2</v>
      </c>
      <c r="CO310" s="397">
        <v>1610.2708210236392</v>
      </c>
      <c r="CP310" s="397">
        <v>18.570036149791335</v>
      </c>
      <c r="CQ310" s="397">
        <v>5.2245637134256699E-3</v>
      </c>
      <c r="CR310" s="397">
        <v>0.82406636301462266</v>
      </c>
      <c r="CS310" s="397">
        <v>0.43273207747314352</v>
      </c>
      <c r="CT310" s="397">
        <v>0</v>
      </c>
      <c r="CU310" s="397">
        <v>0</v>
      </c>
      <c r="CV310" s="397">
        <v>0</v>
      </c>
      <c r="CW310" s="397">
        <v>0</v>
      </c>
      <c r="CX310" s="397">
        <v>0</v>
      </c>
      <c r="CY310" s="397">
        <v>1190.5990090480491</v>
      </c>
      <c r="CZ310" s="397">
        <v>4.3745046545503907</v>
      </c>
      <c r="DA310" s="397">
        <v>7.3124213581993707E-3</v>
      </c>
      <c r="DB310" s="397">
        <v>0.12266920060772818</v>
      </c>
      <c r="DC310" s="397">
        <v>0.19054001138185064</v>
      </c>
      <c r="DD310" s="397">
        <v>1097.2560342712638</v>
      </c>
      <c r="DE310" s="397">
        <v>0.69003566778010528</v>
      </c>
      <c r="DF310" s="397">
        <v>5.748296816320368E-3</v>
      </c>
      <c r="DG310" s="397">
        <v>0.32401347449470647</v>
      </c>
      <c r="DH310" s="397">
        <v>8.320245711374058E-2</v>
      </c>
      <c r="DI310" s="397">
        <v>1394.7150519252959</v>
      </c>
      <c r="DJ310" s="397">
        <v>16.909937390486775</v>
      </c>
      <c r="DK310" s="397">
        <v>5.1611981281251334E-3</v>
      </c>
      <c r="DL310" s="397">
        <v>0.73545610923543736</v>
      </c>
      <c r="DM310" s="397">
        <v>0.42249401683832638</v>
      </c>
      <c r="DN310" s="397">
        <v>0</v>
      </c>
      <c r="DO310" s="397">
        <v>0</v>
      </c>
      <c r="DP310" s="397">
        <v>0</v>
      </c>
      <c r="DQ310" s="397">
        <v>0</v>
      </c>
      <c r="DR310" s="397">
        <v>0</v>
      </c>
      <c r="DS310" s="397">
        <v>1684.0548641298951</v>
      </c>
      <c r="DT310" s="397">
        <v>11.388900704091556</v>
      </c>
      <c r="DU310" s="397">
        <v>3.7777645447507886E-3</v>
      </c>
      <c r="DV310" s="397">
        <v>8.188871213345697E-2</v>
      </c>
      <c r="DW310" s="397">
        <v>0.12687741207362477</v>
      </c>
      <c r="DX310" s="397">
        <v>1509.7650742954102</v>
      </c>
      <c r="DY310" s="397">
        <v>1.6309408256709044</v>
      </c>
      <c r="DZ310" s="397">
        <v>3.8399311317106038E-3</v>
      </c>
      <c r="EA310" s="397">
        <v>0.53795865407408339</v>
      </c>
      <c r="EB310" s="397">
        <v>7.8727184260102556E-2</v>
      </c>
      <c r="EC310" s="397">
        <v>1765.4993283881861</v>
      </c>
      <c r="ED310" s="397">
        <v>19.632512918757691</v>
      </c>
      <c r="EE310" s="397">
        <v>5.7642288096930215E-3</v>
      </c>
      <c r="EF310" s="397">
        <v>1.0124761664143198</v>
      </c>
      <c r="EG310" s="397">
        <v>0.51211718581017829</v>
      </c>
      <c r="EH310" s="397">
        <v>0</v>
      </c>
      <c r="EI310" s="397">
        <v>0</v>
      </c>
      <c r="EJ310" s="397">
        <v>0</v>
      </c>
      <c r="EK310" s="397">
        <v>0</v>
      </c>
      <c r="EL310" s="397">
        <v>0</v>
      </c>
      <c r="EM310" s="397">
        <v>987.01231434601891</v>
      </c>
      <c r="EN310" s="397">
        <v>2.2647649138254753</v>
      </c>
      <c r="EO310" s="397">
        <v>1.0273414738368706E-2</v>
      </c>
      <c r="EP310" s="397">
        <v>0.17072202727025523</v>
      </c>
      <c r="EQ310" s="397">
        <v>0.18746746604166936</v>
      </c>
      <c r="ER310" s="397">
        <v>774.84382838357828</v>
      </c>
      <c r="ES310" s="397">
        <v>0.77809197380184347</v>
      </c>
      <c r="ET310" s="397">
        <v>2.3324626771556445E-3</v>
      </c>
      <c r="EU310" s="397">
        <v>0.30410656383208295</v>
      </c>
      <c r="EV310" s="397">
        <v>0.12750862482098768</v>
      </c>
      <c r="EW310" s="397">
        <v>1642.8163834643672</v>
      </c>
      <c r="EX310" s="397">
        <v>18.488407726773186</v>
      </c>
      <c r="EY310" s="397">
        <v>5.7287703947924585E-3</v>
      </c>
      <c r="EZ310" s="397">
        <v>0.8752641812494717</v>
      </c>
      <c r="FA310" s="397">
        <v>0.46978030687293937</v>
      </c>
      <c r="FB310" s="397">
        <v>0</v>
      </c>
      <c r="FC310" s="397">
        <v>0</v>
      </c>
      <c r="FD310" s="397">
        <v>0</v>
      </c>
      <c r="FE310" s="397">
        <v>0</v>
      </c>
      <c r="FF310" s="397">
        <v>0</v>
      </c>
      <c r="FG310" s="397">
        <v>914.6924194388356</v>
      </c>
      <c r="FH310" s="397">
        <v>1.08553599327553</v>
      </c>
      <c r="FI310" s="397">
        <v>4.6555718997542284E-3</v>
      </c>
      <c r="FJ310" s="397">
        <v>2.4619236005152992E-2</v>
      </c>
      <c r="FK310" s="397">
        <v>5.6947949310650427E-2</v>
      </c>
      <c r="FL310" s="397">
        <v>714.76707810466951</v>
      </c>
      <c r="FM310" s="397">
        <v>0.68676661934009087</v>
      </c>
      <c r="FN310" s="397">
        <v>1.9680842228488489E-3</v>
      </c>
      <c r="FO310" s="397">
        <v>0.19121703123949488</v>
      </c>
      <c r="FP310" s="397">
        <v>3.389831245822672E-2</v>
      </c>
      <c r="FQ310" s="397">
        <v>1425.2673019281531</v>
      </c>
      <c r="FR310" s="397">
        <v>16.866490702217451</v>
      </c>
      <c r="FS310" s="397">
        <v>5.0382349871009114E-3</v>
      </c>
      <c r="FT310" s="397">
        <v>0.80029526238088855</v>
      </c>
      <c r="FU310" s="397">
        <v>0.42526879315229876</v>
      </c>
      <c r="FV310" s="397">
        <v>0</v>
      </c>
      <c r="FW310" s="397">
        <v>0</v>
      </c>
      <c r="FX310" s="397">
        <v>0</v>
      </c>
      <c r="FY310" s="397">
        <v>0</v>
      </c>
      <c r="FZ310" s="397">
        <v>0</v>
      </c>
      <c r="GA310" s="397">
        <v>1445.1920699724039</v>
      </c>
      <c r="GB310" s="397">
        <v>1.2434801782719382</v>
      </c>
      <c r="GC310" s="397">
        <v>4.0323335048343227E-3</v>
      </c>
      <c r="GD310" s="397">
        <v>0.37225960349862014</v>
      </c>
      <c r="GE310" s="397">
        <v>7.1841987451473022E-2</v>
      </c>
      <c r="GF310" s="397">
        <v>1578.0789501408763</v>
      </c>
      <c r="GG310" s="397">
        <v>18.279769735509191</v>
      </c>
      <c r="GH310" s="397">
        <v>4.8412812041611838E-3</v>
      </c>
      <c r="GI310" s="397">
        <v>0.73312658874124403</v>
      </c>
      <c r="GJ310" s="397">
        <v>0.39215469105820627</v>
      </c>
      <c r="GK310" s="397">
        <v>0</v>
      </c>
      <c r="GL310" s="397">
        <v>0</v>
      </c>
      <c r="GM310" s="397">
        <v>0</v>
      </c>
      <c r="GN310" s="397">
        <v>0</v>
      </c>
      <c r="GO310" s="397">
        <v>0</v>
      </c>
      <c r="GP310" s="397">
        <v>1413.4205592744183</v>
      </c>
      <c r="GQ310" s="397">
        <v>1.377712908801225</v>
      </c>
      <c r="GR310" s="397">
        <v>2.360175765525861E-3</v>
      </c>
      <c r="GS310" s="397">
        <v>0.35327350624637577</v>
      </c>
      <c r="GT310" s="397">
        <v>6.2764675745821202E-2</v>
      </c>
      <c r="GU310" s="397">
        <v>1459.090017222961</v>
      </c>
      <c r="GV310" s="397">
        <v>17.428764525060497</v>
      </c>
      <c r="GW310" s="397">
        <v>0.60830299330702653</v>
      </c>
      <c r="GX310" s="397">
        <v>0.3329977762759162</v>
      </c>
      <c r="GY310" s="397"/>
      <c r="GZ310" s="397">
        <v>0</v>
      </c>
      <c r="HA310" s="397">
        <v>0</v>
      </c>
      <c r="HB310" s="397">
        <v>0</v>
      </c>
      <c r="HC310" s="397">
        <v>0</v>
      </c>
      <c r="HD310" s="490">
        <v>0</v>
      </c>
    </row>
    <row r="311" spans="1:212" x14ac:dyDescent="0.35">
      <c r="I311" s="149"/>
      <c r="L311" s="1"/>
      <c r="U311" s="18"/>
      <c r="AO311" s="19"/>
      <c r="AP311" s="228"/>
      <c r="AQ311" s="19"/>
      <c r="AR311" s="19"/>
      <c r="AS311" s="19"/>
      <c r="BM311" s="19"/>
      <c r="BN311" s="2"/>
      <c r="BR311" s="19"/>
    </row>
    <row r="312" spans="1:212" x14ac:dyDescent="0.35">
      <c r="L312" s="1"/>
      <c r="U312" s="18"/>
      <c r="AO312" s="19"/>
      <c r="AP312" s="228"/>
      <c r="AQ312" s="19"/>
      <c r="AR312" s="19"/>
      <c r="AS312" s="19"/>
      <c r="BM312" s="19"/>
      <c r="BN312" s="2"/>
      <c r="BR312" s="19"/>
    </row>
    <row r="313" spans="1:212" x14ac:dyDescent="0.35">
      <c r="L313" s="1"/>
      <c r="U313" s="18"/>
      <c r="AO313" s="19"/>
      <c r="AP313" s="228"/>
      <c r="AQ313" s="19"/>
      <c r="AR313" s="19"/>
      <c r="AS313" s="19"/>
      <c r="BM313" s="19"/>
      <c r="BN313" s="2"/>
      <c r="BR313" s="19"/>
    </row>
    <row r="314" spans="1:212" x14ac:dyDescent="0.35">
      <c r="L314" s="1"/>
      <c r="R314" s="19"/>
      <c r="S314" s="1"/>
      <c r="AP314" s="2"/>
      <c r="AS314" s="19"/>
      <c r="BM314" s="19"/>
      <c r="BN314" s="2"/>
      <c r="BR314" s="19"/>
    </row>
    <row r="315" spans="1:212" x14ac:dyDescent="0.35">
      <c r="L315" s="1"/>
      <c r="S315" s="1"/>
      <c r="AP315" s="2"/>
      <c r="AS315" s="19"/>
      <c r="BM315" s="19"/>
      <c r="BN315" s="2"/>
      <c r="BR315" s="19"/>
    </row>
    <row r="316" spans="1:212" x14ac:dyDescent="0.35">
      <c r="I316" s="149"/>
      <c r="L316" s="1"/>
      <c r="S316" s="1"/>
      <c r="AP316" s="2"/>
      <c r="AS316" s="19"/>
      <c r="BM316" s="19"/>
      <c r="BN316" s="2"/>
      <c r="BR316" s="19"/>
    </row>
    <row r="317" spans="1:212" x14ac:dyDescent="0.35">
      <c r="L317" s="1"/>
      <c r="S317" s="1"/>
      <c r="AP317" s="2"/>
      <c r="AS317" s="19"/>
      <c r="BM317" s="19"/>
      <c r="BN317" s="2"/>
      <c r="BR317" s="19"/>
    </row>
    <row r="318" spans="1:212" x14ac:dyDescent="0.35">
      <c r="S318" s="1"/>
      <c r="AP318" s="2"/>
      <c r="AS318" s="19"/>
      <c r="BM318" s="19"/>
      <c r="BN318" s="2"/>
      <c r="BR318" s="19"/>
    </row>
    <row r="319" spans="1:212" x14ac:dyDescent="0.35">
      <c r="A319" s="149"/>
      <c r="E319" s="149"/>
      <c r="F319" s="149"/>
      <c r="G319" s="149"/>
      <c r="H319" s="149"/>
      <c r="I319" s="149"/>
      <c r="J319" s="149"/>
      <c r="K319" s="149"/>
      <c r="L319" s="149"/>
      <c r="M319" s="149"/>
      <c r="N319" s="149"/>
      <c r="O319" s="149"/>
      <c r="P319" s="149"/>
      <c r="Q319" s="149"/>
      <c r="R319" s="149"/>
      <c r="S319" s="149"/>
      <c r="T319" s="149"/>
      <c r="U319" s="149"/>
      <c r="V319" s="149"/>
      <c r="W319" s="149"/>
      <c r="X319" s="149"/>
      <c r="Y319" s="149"/>
      <c r="Z319" s="149"/>
      <c r="AA319" s="149"/>
      <c r="AB319" s="149"/>
      <c r="AC319" s="149"/>
      <c r="AD319" s="149"/>
      <c r="AE319" s="149"/>
      <c r="AF319" s="149"/>
      <c r="AG319" s="149"/>
      <c r="AH319" s="149"/>
      <c r="AI319" s="149"/>
      <c r="AJ319" s="149"/>
      <c r="AK319" s="149"/>
      <c r="AL319" s="149"/>
      <c r="AM319" s="149"/>
      <c r="AN319" s="149"/>
      <c r="AP319" s="2"/>
      <c r="AS319" s="19"/>
      <c r="BM319" s="19"/>
      <c r="BN319" s="2"/>
      <c r="BR319" s="19"/>
    </row>
    <row r="320" spans="1:212" x14ac:dyDescent="0.35">
      <c r="A320" s="149"/>
      <c r="E320" s="149"/>
      <c r="F320" s="149"/>
      <c r="G320" s="149"/>
      <c r="H320" s="149"/>
      <c r="I320" s="149"/>
      <c r="J320" s="149"/>
      <c r="K320" s="149"/>
      <c r="L320" s="149"/>
      <c r="M320" s="149"/>
      <c r="N320" s="149"/>
      <c r="O320" s="149"/>
      <c r="P320" s="149"/>
      <c r="Q320" s="149"/>
      <c r="R320" s="149"/>
      <c r="S320" s="149"/>
      <c r="T320" s="149"/>
      <c r="U320" s="149"/>
      <c r="V320" s="149"/>
      <c r="W320" s="149"/>
      <c r="X320" s="149"/>
      <c r="Y320" s="149"/>
      <c r="Z320" s="149"/>
      <c r="AA320" s="149"/>
      <c r="AB320" s="149"/>
      <c r="AC320" s="149"/>
      <c r="AD320" s="149"/>
      <c r="AE320" s="149"/>
      <c r="AF320" s="149"/>
      <c r="AG320" s="149"/>
      <c r="AH320" s="149"/>
      <c r="AI320" s="149"/>
      <c r="AJ320" s="149"/>
      <c r="AK320" s="149"/>
      <c r="AL320" s="149"/>
      <c r="AM320" s="149"/>
      <c r="AN320" s="149"/>
      <c r="AP320" s="2"/>
      <c r="AS320" s="19"/>
      <c r="BM320" s="19"/>
      <c r="BN320" s="2"/>
      <c r="BR320" s="19"/>
    </row>
    <row r="321" spans="1:70" x14ac:dyDescent="0.35">
      <c r="A321" s="149"/>
      <c r="E321" s="149"/>
      <c r="F321" s="149"/>
      <c r="G321" s="149"/>
      <c r="H321" s="149"/>
      <c r="I321" s="149"/>
      <c r="J321" s="149"/>
      <c r="K321" s="149"/>
      <c r="L321" s="149"/>
      <c r="M321" s="149"/>
      <c r="N321" s="149"/>
      <c r="O321" s="149"/>
      <c r="P321" s="149"/>
      <c r="Q321" s="149"/>
      <c r="R321" s="149"/>
      <c r="S321" s="149"/>
      <c r="T321" s="149"/>
      <c r="U321" s="149"/>
      <c r="V321" s="149"/>
      <c r="W321" s="149"/>
      <c r="X321" s="149"/>
      <c r="Y321" s="149"/>
      <c r="Z321" s="149"/>
      <c r="AA321" s="149"/>
      <c r="AB321" s="149"/>
      <c r="AC321" s="149"/>
      <c r="AD321" s="149"/>
      <c r="AE321" s="149"/>
      <c r="AF321" s="149"/>
      <c r="AG321" s="149"/>
      <c r="AH321" s="149"/>
      <c r="AI321" s="149"/>
      <c r="AJ321" s="149"/>
      <c r="AK321" s="149"/>
      <c r="AL321" s="149"/>
      <c r="AM321" s="149"/>
      <c r="AN321" s="149"/>
      <c r="AP321" s="2"/>
      <c r="AS321" s="19"/>
      <c r="BM321" s="19"/>
      <c r="BN321" s="2"/>
      <c r="BR321" s="19"/>
    </row>
    <row r="322" spans="1:70" x14ac:dyDescent="0.35">
      <c r="A322" s="149"/>
      <c r="E322" s="149"/>
      <c r="F322" s="149"/>
      <c r="G322" s="149"/>
      <c r="H322" s="149"/>
      <c r="I322" s="149"/>
      <c r="J322" s="149"/>
      <c r="K322" s="149"/>
      <c r="L322" s="149"/>
      <c r="M322" s="149"/>
      <c r="N322" s="149"/>
      <c r="O322" s="149"/>
      <c r="P322" s="149"/>
      <c r="Q322" s="149"/>
      <c r="R322" s="149"/>
      <c r="S322" s="149"/>
      <c r="T322" s="149"/>
      <c r="U322" s="149"/>
      <c r="V322" s="149"/>
      <c r="W322" s="149"/>
      <c r="X322" s="149"/>
      <c r="Y322" s="149"/>
      <c r="Z322" s="149"/>
      <c r="AA322" s="149"/>
      <c r="AB322" s="149"/>
      <c r="AC322" s="149"/>
      <c r="AD322" s="149"/>
      <c r="AE322" s="149"/>
      <c r="AF322" s="149"/>
      <c r="AG322" s="149"/>
      <c r="AH322" s="149"/>
      <c r="AI322" s="149"/>
      <c r="AJ322" s="149"/>
      <c r="AK322" s="149"/>
      <c r="AL322" s="149"/>
      <c r="AM322" s="149"/>
      <c r="AN322" s="149"/>
      <c r="AP322" s="2"/>
      <c r="AS322" s="19"/>
      <c r="BM322" s="19"/>
      <c r="BN322" s="2"/>
      <c r="BR322" s="19"/>
    </row>
    <row r="323" spans="1:70" x14ac:dyDescent="0.35">
      <c r="A323" s="149"/>
      <c r="E323" s="149"/>
      <c r="F323" s="149"/>
      <c r="G323" s="149"/>
      <c r="H323" s="149"/>
      <c r="I323" s="149"/>
      <c r="J323" s="149"/>
      <c r="K323" s="149"/>
      <c r="L323" s="149"/>
      <c r="M323" s="149"/>
      <c r="N323" s="149"/>
      <c r="O323" s="149"/>
      <c r="P323" s="149"/>
      <c r="Q323" s="149"/>
      <c r="R323" s="149"/>
      <c r="S323" s="149"/>
      <c r="T323" s="149"/>
      <c r="U323" s="149"/>
      <c r="V323" s="149"/>
      <c r="W323" s="149"/>
      <c r="X323" s="149"/>
      <c r="Y323" s="149"/>
      <c r="Z323" s="149"/>
      <c r="AA323" s="149"/>
      <c r="AB323" s="149"/>
      <c r="AC323" s="149"/>
      <c r="AD323" s="149"/>
      <c r="AE323" s="149"/>
      <c r="AF323" s="149"/>
      <c r="AG323" s="149"/>
      <c r="AH323" s="149"/>
      <c r="AI323" s="149"/>
      <c r="AJ323" s="149"/>
      <c r="AK323" s="149"/>
      <c r="AL323" s="149"/>
      <c r="AM323" s="149"/>
      <c r="AN323" s="149"/>
      <c r="AP323" s="2"/>
      <c r="AS323" s="19"/>
      <c r="BM323" s="19"/>
      <c r="BN323" s="2"/>
      <c r="BR323" s="19"/>
    </row>
    <row r="324" spans="1:70" x14ac:dyDescent="0.35">
      <c r="A324" s="149"/>
      <c r="E324" s="149"/>
      <c r="F324" s="149"/>
      <c r="G324" s="149"/>
      <c r="H324" s="149"/>
      <c r="I324" s="149"/>
      <c r="J324" s="149"/>
      <c r="K324" s="149"/>
      <c r="L324" s="149"/>
      <c r="M324" s="149"/>
      <c r="N324" s="149"/>
      <c r="O324" s="149"/>
      <c r="P324" s="149"/>
      <c r="Q324" s="149"/>
      <c r="R324" s="149"/>
      <c r="S324" s="149"/>
      <c r="T324" s="149"/>
      <c r="U324" s="149"/>
      <c r="V324" s="149"/>
      <c r="W324" s="149"/>
      <c r="X324" s="149"/>
      <c r="Y324" s="149"/>
      <c r="Z324" s="149"/>
      <c r="AA324" s="149"/>
      <c r="AB324" s="149"/>
      <c r="AC324" s="149"/>
      <c r="AD324" s="149"/>
      <c r="AE324" s="149"/>
      <c r="AF324" s="149"/>
      <c r="AG324" s="149"/>
      <c r="AH324" s="149"/>
      <c r="AI324" s="149"/>
      <c r="AJ324" s="149"/>
      <c r="AK324" s="149"/>
      <c r="AL324" s="149"/>
      <c r="AM324" s="149"/>
      <c r="AN324" s="149"/>
      <c r="AP324" s="2"/>
      <c r="AS324" s="19"/>
      <c r="BM324" s="19"/>
      <c r="BN324" s="2"/>
      <c r="BR324" s="19"/>
    </row>
    <row r="325" spans="1:70" x14ac:dyDescent="0.35">
      <c r="A325" s="149"/>
      <c r="E325" s="149"/>
      <c r="F325" s="149"/>
      <c r="G325" s="149"/>
      <c r="H325" s="149"/>
      <c r="I325" s="149"/>
      <c r="J325" s="149"/>
      <c r="K325" s="149"/>
      <c r="L325" s="149"/>
      <c r="M325" s="149"/>
      <c r="N325" s="149"/>
      <c r="O325" s="149"/>
      <c r="P325" s="149"/>
      <c r="Q325" s="149"/>
      <c r="R325" s="149"/>
      <c r="S325" s="149"/>
      <c r="T325" s="149"/>
      <c r="U325" s="149"/>
      <c r="V325" s="149"/>
      <c r="W325" s="149"/>
      <c r="X325" s="149"/>
      <c r="Y325" s="149"/>
      <c r="Z325" s="149"/>
      <c r="AA325" s="149"/>
      <c r="AB325" s="149"/>
      <c r="AC325" s="149"/>
      <c r="AD325" s="149"/>
      <c r="AE325" s="149"/>
      <c r="AF325" s="149"/>
      <c r="AG325" s="149"/>
      <c r="AH325" s="149"/>
      <c r="AI325" s="149"/>
      <c r="AJ325" s="149"/>
      <c r="AK325" s="149"/>
      <c r="AL325" s="149"/>
      <c r="AM325" s="149"/>
      <c r="AN325" s="149"/>
      <c r="AP325" s="2"/>
      <c r="AS325" s="19"/>
      <c r="BM325" s="19"/>
      <c r="BN325" s="2"/>
      <c r="BR325" s="19"/>
    </row>
    <row r="326" spans="1:70" x14ac:dyDescent="0.35">
      <c r="A326" s="149"/>
      <c r="E326" s="149"/>
      <c r="F326" s="149"/>
      <c r="G326" s="149"/>
      <c r="H326" s="149"/>
      <c r="I326" s="149"/>
      <c r="J326" s="149"/>
      <c r="K326" s="149"/>
      <c r="L326" s="149"/>
      <c r="M326" s="149"/>
      <c r="N326" s="149"/>
      <c r="O326" s="149"/>
      <c r="P326" s="149"/>
      <c r="Q326" s="149"/>
      <c r="R326" s="149"/>
      <c r="S326" s="149"/>
      <c r="T326" s="149"/>
      <c r="U326" s="149"/>
      <c r="V326" s="149"/>
      <c r="W326" s="149"/>
      <c r="X326" s="149"/>
      <c r="Y326" s="149"/>
      <c r="Z326" s="149"/>
      <c r="AA326" s="149"/>
      <c r="AB326" s="149"/>
      <c r="AC326" s="149"/>
      <c r="AD326" s="149"/>
      <c r="AE326" s="149"/>
      <c r="AF326" s="149"/>
      <c r="AG326" s="149"/>
      <c r="AH326" s="149"/>
      <c r="AI326" s="149"/>
      <c r="AJ326" s="149"/>
      <c r="AK326" s="149"/>
      <c r="AL326" s="149"/>
      <c r="AM326" s="149"/>
      <c r="AN326" s="149"/>
      <c r="AP326" s="2"/>
      <c r="AS326" s="19"/>
      <c r="BM326" s="19"/>
      <c r="BN326" s="2"/>
      <c r="BR326" s="19"/>
    </row>
    <row r="327" spans="1:70" x14ac:dyDescent="0.35">
      <c r="A327" s="149"/>
      <c r="E327" s="149"/>
      <c r="F327" s="149"/>
      <c r="G327" s="149"/>
      <c r="H327" s="149"/>
      <c r="I327" s="149"/>
      <c r="J327" s="149"/>
      <c r="K327" s="149"/>
      <c r="L327" s="149"/>
      <c r="M327" s="149"/>
      <c r="N327" s="149"/>
      <c r="O327" s="149"/>
      <c r="P327" s="149"/>
      <c r="Q327" s="149"/>
      <c r="R327" s="149"/>
      <c r="S327" s="149"/>
      <c r="T327" s="149"/>
      <c r="U327" s="149"/>
      <c r="V327" s="149"/>
      <c r="W327" s="149"/>
      <c r="X327" s="149"/>
      <c r="Y327" s="149"/>
      <c r="Z327" s="149"/>
      <c r="AA327" s="149"/>
      <c r="AB327" s="149"/>
      <c r="AC327" s="149"/>
      <c r="AD327" s="149"/>
      <c r="AE327" s="149"/>
      <c r="AF327" s="149"/>
      <c r="AG327" s="149"/>
      <c r="AH327" s="149"/>
      <c r="AI327" s="149"/>
      <c r="AJ327" s="149"/>
      <c r="AK327" s="149"/>
      <c r="AL327" s="149"/>
      <c r="AM327" s="149"/>
      <c r="AN327" s="149"/>
      <c r="AP327" s="2"/>
      <c r="AS327" s="19"/>
      <c r="BM327" s="19"/>
      <c r="BN327" s="2"/>
      <c r="BR327" s="19"/>
    </row>
    <row r="328" spans="1:70" x14ac:dyDescent="0.35">
      <c r="A328" s="149"/>
      <c r="E328" s="149"/>
      <c r="F328" s="149"/>
      <c r="G328" s="149"/>
      <c r="H328" s="149"/>
      <c r="I328" s="149"/>
      <c r="J328" s="149"/>
      <c r="K328" s="149"/>
      <c r="L328" s="149"/>
      <c r="M328" s="149"/>
      <c r="N328" s="149"/>
      <c r="O328" s="149"/>
      <c r="P328" s="149"/>
      <c r="Q328" s="149"/>
      <c r="R328" s="149"/>
      <c r="S328" s="149"/>
      <c r="T328" s="149"/>
      <c r="U328" s="149"/>
      <c r="V328" s="149"/>
      <c r="W328" s="149"/>
      <c r="X328" s="149"/>
      <c r="Y328" s="149"/>
      <c r="Z328" s="149"/>
      <c r="AA328" s="149"/>
      <c r="AB328" s="149"/>
      <c r="AC328" s="149"/>
      <c r="AD328" s="149"/>
      <c r="AE328" s="149"/>
      <c r="AF328" s="149"/>
      <c r="AG328" s="149"/>
      <c r="AH328" s="149"/>
      <c r="AI328" s="149"/>
      <c r="AJ328" s="149"/>
      <c r="AK328" s="149"/>
      <c r="AL328" s="149"/>
      <c r="AM328" s="149"/>
      <c r="AN328" s="149"/>
      <c r="AP328" s="2"/>
      <c r="AS328" s="19"/>
      <c r="BM328" s="19"/>
      <c r="BN328" s="2"/>
      <c r="BR328" s="19"/>
    </row>
    <row r="329" spans="1:70" x14ac:dyDescent="0.35">
      <c r="A329" s="149"/>
      <c r="E329" s="149"/>
      <c r="F329" s="149"/>
      <c r="G329" s="149"/>
      <c r="H329" s="149"/>
      <c r="I329" s="149"/>
      <c r="J329" s="149"/>
      <c r="K329" s="149"/>
      <c r="L329" s="149"/>
      <c r="M329" s="149"/>
      <c r="N329" s="149"/>
      <c r="O329" s="149"/>
      <c r="P329" s="149"/>
      <c r="Q329" s="149"/>
      <c r="R329" s="149"/>
      <c r="S329" s="149"/>
      <c r="T329" s="149"/>
      <c r="U329" s="149"/>
      <c r="V329" s="149"/>
      <c r="W329" s="149"/>
      <c r="X329" s="149"/>
      <c r="Y329" s="149"/>
      <c r="Z329" s="149"/>
      <c r="AA329" s="149"/>
      <c r="AB329" s="149"/>
      <c r="AC329" s="149"/>
      <c r="AD329" s="149"/>
      <c r="AE329" s="149"/>
      <c r="AF329" s="149"/>
      <c r="AG329" s="149"/>
      <c r="AH329" s="149"/>
      <c r="AI329" s="149"/>
      <c r="AJ329" s="149"/>
      <c r="AK329" s="149"/>
      <c r="AL329" s="149"/>
      <c r="AM329" s="149"/>
      <c r="AN329" s="149"/>
      <c r="AP329" s="2"/>
      <c r="AS329" s="19"/>
      <c r="BM329" s="19"/>
      <c r="BN329" s="2"/>
      <c r="BR329" s="19"/>
    </row>
    <row r="330" spans="1:70" x14ac:dyDescent="0.35">
      <c r="A330" s="149"/>
      <c r="E330" s="149"/>
      <c r="F330" s="149"/>
      <c r="G330" s="149"/>
      <c r="H330" s="149"/>
      <c r="I330" s="149"/>
      <c r="J330" s="149"/>
      <c r="K330" s="149"/>
      <c r="L330" s="149"/>
      <c r="M330" s="149"/>
      <c r="N330" s="149"/>
      <c r="O330" s="149"/>
      <c r="P330" s="149"/>
      <c r="Q330" s="149"/>
      <c r="R330" s="149"/>
      <c r="S330" s="149"/>
      <c r="T330" s="149"/>
      <c r="U330" s="149"/>
      <c r="V330" s="149"/>
      <c r="W330" s="149"/>
      <c r="X330" s="149"/>
      <c r="Y330" s="149"/>
      <c r="Z330" s="149"/>
      <c r="AA330" s="149"/>
      <c r="AB330" s="149"/>
      <c r="AC330" s="149"/>
      <c r="AD330" s="149"/>
      <c r="AE330" s="149"/>
      <c r="AF330" s="149"/>
      <c r="AG330" s="149"/>
      <c r="AH330" s="149"/>
      <c r="AI330" s="149"/>
      <c r="AJ330" s="149"/>
      <c r="AK330" s="149"/>
      <c r="AL330" s="149"/>
      <c r="AM330" s="149"/>
      <c r="AN330" s="149"/>
      <c r="AP330" s="2"/>
      <c r="AS330" s="19"/>
      <c r="BM330" s="19"/>
      <c r="BN330" s="2"/>
      <c r="BR330" s="19"/>
    </row>
    <row r="331" spans="1:70" x14ac:dyDescent="0.35">
      <c r="A331" s="149"/>
      <c r="E331" s="149"/>
      <c r="F331" s="149"/>
      <c r="G331" s="149"/>
      <c r="H331" s="149"/>
      <c r="I331" s="149"/>
      <c r="J331" s="149"/>
      <c r="K331" s="149"/>
      <c r="L331" s="149"/>
      <c r="M331" s="149"/>
      <c r="N331" s="149"/>
      <c r="O331" s="149"/>
      <c r="P331" s="149"/>
      <c r="Q331" s="149"/>
      <c r="R331" s="149"/>
      <c r="S331" s="149"/>
      <c r="T331" s="149"/>
      <c r="U331" s="149"/>
      <c r="V331" s="149"/>
      <c r="W331" s="149"/>
      <c r="X331" s="149"/>
      <c r="Y331" s="149"/>
      <c r="Z331" s="149"/>
      <c r="AA331" s="149"/>
      <c r="AB331" s="149"/>
      <c r="AC331" s="149"/>
      <c r="AD331" s="149"/>
      <c r="AE331" s="149"/>
      <c r="AF331" s="149"/>
      <c r="AG331" s="149"/>
      <c r="AH331" s="149"/>
      <c r="AI331" s="149"/>
      <c r="AJ331" s="149"/>
      <c r="AK331" s="149"/>
      <c r="AL331" s="149"/>
      <c r="AM331" s="149"/>
      <c r="AN331" s="149"/>
      <c r="AP331" s="2"/>
      <c r="AS331" s="19"/>
      <c r="BM331" s="19"/>
      <c r="BN331" s="2"/>
      <c r="BR331" s="19"/>
    </row>
    <row r="332" spans="1:70" x14ac:dyDescent="0.35">
      <c r="A332" s="149"/>
      <c r="E332" s="149"/>
      <c r="F332" s="149"/>
      <c r="G332" s="149"/>
      <c r="H332" s="149"/>
      <c r="I332" s="149"/>
      <c r="J332" s="149"/>
      <c r="K332" s="149"/>
      <c r="L332" s="149"/>
      <c r="M332" s="149"/>
      <c r="N332" s="149"/>
      <c r="O332" s="149"/>
      <c r="P332" s="149"/>
      <c r="Q332" s="149"/>
      <c r="R332" s="149"/>
      <c r="S332" s="149"/>
      <c r="T332" s="149"/>
      <c r="U332" s="149"/>
      <c r="V332" s="149"/>
      <c r="W332" s="149"/>
      <c r="X332" s="149"/>
      <c r="Y332" s="149"/>
      <c r="Z332" s="149"/>
      <c r="AA332" s="149"/>
      <c r="AB332" s="149"/>
      <c r="AC332" s="149"/>
      <c r="AD332" s="149"/>
      <c r="AE332" s="149"/>
      <c r="AF332" s="149"/>
      <c r="AG332" s="149"/>
      <c r="AH332" s="149"/>
      <c r="AI332" s="149"/>
      <c r="AJ332" s="149"/>
      <c r="AK332" s="149"/>
      <c r="AL332" s="149"/>
      <c r="AM332" s="149"/>
      <c r="AN332" s="149"/>
      <c r="AP332" s="2"/>
      <c r="AS332" s="19"/>
      <c r="BM332" s="19"/>
      <c r="BN332" s="2"/>
      <c r="BR332" s="19"/>
    </row>
    <row r="333" spans="1:70" x14ac:dyDescent="0.35">
      <c r="A333" s="149"/>
      <c r="E333" s="149"/>
      <c r="F333" s="149"/>
      <c r="G333" s="149"/>
      <c r="H333" s="149"/>
      <c r="I333" s="149"/>
      <c r="J333" s="149"/>
      <c r="K333" s="149"/>
      <c r="L333" s="149"/>
      <c r="M333" s="149"/>
      <c r="N333" s="149"/>
      <c r="O333" s="149"/>
      <c r="P333" s="149"/>
      <c r="Q333" s="149"/>
      <c r="R333" s="149"/>
      <c r="S333" s="149"/>
      <c r="T333" s="149"/>
      <c r="U333" s="149"/>
      <c r="V333" s="149"/>
      <c r="W333" s="149"/>
      <c r="X333" s="149"/>
      <c r="Y333" s="149"/>
      <c r="Z333" s="149"/>
      <c r="AA333" s="149"/>
      <c r="AB333" s="149"/>
      <c r="AC333" s="149"/>
      <c r="AD333" s="149"/>
      <c r="AE333" s="149"/>
      <c r="AF333" s="149"/>
      <c r="AG333" s="149"/>
      <c r="AH333" s="149"/>
      <c r="AI333" s="149"/>
      <c r="AJ333" s="149"/>
      <c r="AK333" s="149"/>
      <c r="AL333" s="149"/>
      <c r="AM333" s="149"/>
      <c r="AN333" s="149"/>
      <c r="AP333" s="2"/>
      <c r="AS333" s="19"/>
      <c r="BM333" s="19"/>
      <c r="BN333" s="2"/>
      <c r="BR333" s="19"/>
    </row>
    <row r="334" spans="1:70" x14ac:dyDescent="0.35">
      <c r="A334" s="149"/>
      <c r="E334" s="149"/>
      <c r="F334" s="149"/>
      <c r="G334" s="149"/>
      <c r="H334" s="149"/>
      <c r="I334" s="149"/>
      <c r="J334" s="149"/>
      <c r="K334" s="149"/>
      <c r="L334" s="149"/>
      <c r="M334" s="149"/>
      <c r="N334" s="149"/>
      <c r="O334" s="149"/>
      <c r="P334" s="149"/>
      <c r="Q334" s="149"/>
      <c r="R334" s="149"/>
      <c r="S334" s="149"/>
      <c r="T334" s="149"/>
      <c r="U334" s="149"/>
      <c r="V334" s="149"/>
      <c r="W334" s="149"/>
      <c r="X334" s="149"/>
      <c r="Y334" s="149"/>
      <c r="Z334" s="149"/>
      <c r="AA334" s="149"/>
      <c r="AB334" s="149"/>
      <c r="AC334" s="149"/>
      <c r="AD334" s="149"/>
      <c r="AE334" s="149"/>
      <c r="AF334" s="149"/>
      <c r="AG334" s="149"/>
      <c r="AH334" s="149"/>
      <c r="AI334" s="149"/>
      <c r="AJ334" s="149"/>
      <c r="AK334" s="149"/>
      <c r="AL334" s="149"/>
      <c r="AM334" s="149"/>
      <c r="AN334" s="149"/>
      <c r="AP334" s="2"/>
      <c r="AS334" s="19"/>
      <c r="BM334" s="19"/>
      <c r="BN334" s="2"/>
      <c r="BR334" s="19"/>
    </row>
    <row r="335" spans="1:70" x14ac:dyDescent="0.35">
      <c r="A335" s="149"/>
      <c r="E335" s="149"/>
      <c r="F335" s="149"/>
      <c r="G335" s="149"/>
      <c r="H335" s="149"/>
      <c r="I335" s="149"/>
      <c r="J335" s="149"/>
      <c r="K335" s="149"/>
      <c r="L335" s="149"/>
      <c r="M335" s="149"/>
      <c r="N335" s="149"/>
      <c r="O335" s="149"/>
      <c r="P335" s="149"/>
      <c r="Q335" s="149"/>
      <c r="R335" s="149"/>
      <c r="S335" s="149"/>
      <c r="T335" s="149"/>
      <c r="U335" s="149"/>
      <c r="V335" s="149"/>
      <c r="W335" s="149"/>
      <c r="X335" s="149"/>
      <c r="Y335" s="149"/>
      <c r="Z335" s="149"/>
      <c r="AA335" s="149"/>
      <c r="AB335" s="149"/>
      <c r="AC335" s="149"/>
      <c r="AD335" s="149"/>
      <c r="AE335" s="149"/>
      <c r="AF335" s="149"/>
      <c r="AG335" s="149"/>
      <c r="AH335" s="149"/>
      <c r="AI335" s="149"/>
      <c r="AJ335" s="149"/>
      <c r="AK335" s="149"/>
      <c r="AL335" s="149"/>
      <c r="AM335" s="149"/>
      <c r="AN335" s="149"/>
      <c r="AP335" s="2"/>
      <c r="AS335" s="19"/>
      <c r="BM335" s="19"/>
      <c r="BN335" s="2"/>
      <c r="BR335" s="19"/>
    </row>
    <row r="336" spans="1:70" x14ac:dyDescent="0.35">
      <c r="A336" s="149"/>
      <c r="E336" s="149"/>
      <c r="F336" s="149"/>
      <c r="G336" s="149"/>
      <c r="H336" s="149"/>
      <c r="I336" s="149"/>
      <c r="J336" s="149"/>
      <c r="K336" s="149"/>
      <c r="L336" s="149"/>
      <c r="M336" s="149"/>
      <c r="N336" s="149"/>
      <c r="O336" s="149"/>
      <c r="P336" s="149"/>
      <c r="Q336" s="149"/>
      <c r="R336" s="149"/>
      <c r="S336" s="149"/>
      <c r="T336" s="149"/>
      <c r="U336" s="149"/>
      <c r="V336" s="149"/>
      <c r="W336" s="149"/>
      <c r="X336" s="149"/>
      <c r="Y336" s="149"/>
      <c r="Z336" s="149"/>
      <c r="AA336" s="149"/>
      <c r="AB336" s="149"/>
      <c r="AC336" s="149"/>
      <c r="AD336" s="149"/>
      <c r="AE336" s="149"/>
      <c r="AF336" s="149"/>
      <c r="AG336" s="149"/>
      <c r="AH336" s="149"/>
      <c r="AI336" s="149"/>
      <c r="AJ336" s="149"/>
      <c r="AK336" s="149"/>
      <c r="AL336" s="149"/>
      <c r="AM336" s="149"/>
      <c r="AN336" s="149"/>
      <c r="AP336" s="2"/>
      <c r="AS336" s="19"/>
      <c r="BM336" s="19"/>
      <c r="BN336" s="2"/>
      <c r="BR336" s="19"/>
    </row>
    <row r="337" spans="1:70" x14ac:dyDescent="0.35">
      <c r="A337" s="149"/>
      <c r="E337" s="149"/>
      <c r="F337" s="149"/>
      <c r="G337" s="149"/>
      <c r="H337" s="149"/>
      <c r="I337" s="149"/>
      <c r="J337" s="149"/>
      <c r="K337" s="149"/>
      <c r="L337" s="149"/>
      <c r="M337" s="149"/>
      <c r="N337" s="149"/>
      <c r="O337" s="149"/>
      <c r="P337" s="149"/>
      <c r="Q337" s="149"/>
      <c r="R337" s="149"/>
      <c r="S337" s="149"/>
      <c r="T337" s="149"/>
      <c r="U337" s="149"/>
      <c r="V337" s="149"/>
      <c r="W337" s="149"/>
      <c r="X337" s="149"/>
      <c r="Y337" s="149"/>
      <c r="Z337" s="149"/>
      <c r="AA337" s="149"/>
      <c r="AB337" s="149"/>
      <c r="AC337" s="149"/>
      <c r="AD337" s="149"/>
      <c r="AE337" s="149"/>
      <c r="AF337" s="149"/>
      <c r="AG337" s="149"/>
      <c r="AH337" s="149"/>
      <c r="AI337" s="149"/>
      <c r="AJ337" s="149"/>
      <c r="AK337" s="149"/>
      <c r="AL337" s="149"/>
      <c r="AM337" s="149"/>
      <c r="AN337" s="149"/>
      <c r="AP337" s="2"/>
      <c r="AS337" s="19"/>
      <c r="BM337" s="19"/>
      <c r="BN337" s="2"/>
      <c r="BR337" s="19"/>
    </row>
    <row r="338" spans="1:70" x14ac:dyDescent="0.35">
      <c r="A338" s="149"/>
      <c r="E338" s="149"/>
      <c r="F338" s="149"/>
      <c r="G338" s="149"/>
      <c r="H338" s="149"/>
      <c r="I338" s="149"/>
      <c r="J338" s="149"/>
      <c r="K338" s="149"/>
      <c r="L338" s="149"/>
      <c r="M338" s="149"/>
      <c r="N338" s="149"/>
      <c r="O338" s="149"/>
      <c r="P338" s="149"/>
      <c r="Q338" s="149"/>
      <c r="R338" s="149"/>
      <c r="S338" s="149"/>
      <c r="T338" s="149"/>
      <c r="U338" s="149"/>
      <c r="V338" s="149"/>
      <c r="W338" s="149"/>
      <c r="X338" s="149"/>
      <c r="Y338" s="149"/>
      <c r="Z338" s="149"/>
      <c r="AA338" s="149"/>
      <c r="AB338" s="149"/>
      <c r="AC338" s="149"/>
      <c r="AD338" s="149"/>
      <c r="AE338" s="149"/>
      <c r="AF338" s="149"/>
      <c r="AG338" s="149"/>
      <c r="AH338" s="149"/>
      <c r="AI338" s="149"/>
      <c r="AJ338" s="149"/>
      <c r="AK338" s="149"/>
      <c r="AL338" s="149"/>
      <c r="AM338" s="149"/>
      <c r="AN338" s="149"/>
      <c r="AP338" s="2"/>
      <c r="AS338" s="19"/>
      <c r="BM338" s="19"/>
      <c r="BN338" s="2"/>
      <c r="BR338" s="19"/>
    </row>
    <row r="339" spans="1:70" x14ac:dyDescent="0.35">
      <c r="A339" s="149"/>
      <c r="E339" s="149"/>
      <c r="F339" s="149"/>
      <c r="G339" s="149"/>
      <c r="H339" s="149"/>
      <c r="I339" s="149"/>
      <c r="J339" s="149"/>
      <c r="K339" s="149"/>
      <c r="L339" s="149"/>
      <c r="M339" s="149"/>
      <c r="N339" s="149"/>
      <c r="O339" s="149"/>
      <c r="P339" s="149"/>
      <c r="Q339" s="149"/>
      <c r="R339" s="149"/>
      <c r="S339" s="149"/>
      <c r="T339" s="149"/>
      <c r="U339" s="149"/>
      <c r="V339" s="149"/>
      <c r="W339" s="149"/>
      <c r="X339" s="149"/>
      <c r="Y339" s="149"/>
      <c r="Z339" s="149"/>
      <c r="AA339" s="149"/>
      <c r="AB339" s="149"/>
      <c r="AC339" s="149"/>
      <c r="AD339" s="149"/>
      <c r="AE339" s="149"/>
      <c r="AF339" s="149"/>
      <c r="AG339" s="149"/>
      <c r="AH339" s="149"/>
      <c r="AI339" s="149"/>
      <c r="AJ339" s="149"/>
      <c r="AK339" s="149"/>
      <c r="AL339" s="149"/>
      <c r="AM339" s="149"/>
      <c r="AN339" s="149"/>
      <c r="AP339" s="2"/>
      <c r="AS339" s="19"/>
      <c r="BM339" s="19"/>
      <c r="BN339" s="2"/>
      <c r="BR339" s="19"/>
    </row>
    <row r="340" spans="1:70" x14ac:dyDescent="0.35">
      <c r="A340" s="149"/>
      <c r="E340" s="149"/>
      <c r="F340" s="149"/>
      <c r="G340" s="149"/>
      <c r="H340" s="149"/>
      <c r="I340" s="149"/>
      <c r="J340" s="149"/>
      <c r="K340" s="149"/>
      <c r="L340" s="149"/>
      <c r="M340" s="149"/>
      <c r="N340" s="149"/>
      <c r="O340" s="149"/>
      <c r="P340" s="149"/>
      <c r="Q340" s="149"/>
      <c r="R340" s="149"/>
      <c r="S340" s="149"/>
      <c r="T340" s="149"/>
      <c r="U340" s="149"/>
      <c r="V340" s="149"/>
      <c r="W340" s="149"/>
      <c r="X340" s="149"/>
      <c r="Y340" s="149"/>
      <c r="Z340" s="149"/>
      <c r="AA340" s="149"/>
      <c r="AB340" s="149"/>
      <c r="AC340" s="149"/>
      <c r="AD340" s="149"/>
      <c r="AE340" s="149"/>
      <c r="AF340" s="149"/>
      <c r="AG340" s="149"/>
      <c r="AH340" s="149"/>
      <c r="AI340" s="149"/>
      <c r="AJ340" s="149"/>
      <c r="AK340" s="149"/>
      <c r="AL340" s="149"/>
      <c r="AM340" s="149"/>
      <c r="AN340" s="149"/>
      <c r="AP340" s="2"/>
      <c r="AS340" s="19"/>
      <c r="BM340" s="19"/>
      <c r="BN340" s="2"/>
      <c r="BR340" s="19"/>
    </row>
    <row r="341" spans="1:70" x14ac:dyDescent="0.35">
      <c r="A341" s="149"/>
      <c r="E341" s="149"/>
      <c r="F341" s="149"/>
      <c r="G341" s="149"/>
      <c r="H341" s="149"/>
      <c r="I341" s="149"/>
      <c r="J341" s="149"/>
      <c r="K341" s="149"/>
      <c r="L341" s="149"/>
      <c r="M341" s="149"/>
      <c r="N341" s="149"/>
      <c r="O341" s="149"/>
      <c r="P341" s="149"/>
      <c r="Q341" s="149"/>
      <c r="R341" s="149"/>
      <c r="S341" s="149"/>
      <c r="T341" s="149"/>
      <c r="U341" s="149"/>
      <c r="V341" s="149"/>
      <c r="W341" s="149"/>
      <c r="X341" s="149"/>
      <c r="Y341" s="149"/>
      <c r="Z341" s="149"/>
      <c r="AA341" s="149"/>
      <c r="AB341" s="149"/>
      <c r="AC341" s="149"/>
      <c r="AD341" s="149"/>
      <c r="AE341" s="149"/>
      <c r="AF341" s="149"/>
      <c r="AG341" s="149"/>
      <c r="AH341" s="149"/>
      <c r="AI341" s="149"/>
      <c r="AJ341" s="149"/>
      <c r="AK341" s="149"/>
      <c r="AL341" s="149"/>
      <c r="AM341" s="149"/>
      <c r="AN341" s="149"/>
      <c r="AP341" s="2"/>
      <c r="AS341" s="19"/>
      <c r="BM341" s="19"/>
      <c r="BN341" s="2"/>
      <c r="BR341" s="19"/>
    </row>
    <row r="342" spans="1:70" x14ac:dyDescent="0.35">
      <c r="A342" s="149"/>
      <c r="E342" s="149"/>
      <c r="F342" s="149"/>
      <c r="G342" s="149"/>
      <c r="H342" s="149"/>
      <c r="I342" s="149"/>
      <c r="J342" s="149"/>
      <c r="K342" s="149"/>
      <c r="L342" s="149"/>
      <c r="M342" s="149"/>
      <c r="N342" s="149"/>
      <c r="O342" s="149"/>
      <c r="P342" s="149"/>
      <c r="Q342" s="149"/>
      <c r="R342" s="149"/>
      <c r="S342" s="149"/>
      <c r="T342" s="149"/>
      <c r="U342" s="149"/>
      <c r="V342" s="149"/>
      <c r="W342" s="149"/>
      <c r="X342" s="149"/>
      <c r="Y342" s="149"/>
      <c r="Z342" s="149"/>
      <c r="AA342" s="149"/>
      <c r="AB342" s="149"/>
      <c r="AC342" s="149"/>
      <c r="AD342" s="149"/>
      <c r="AE342" s="149"/>
      <c r="AF342" s="149"/>
      <c r="AG342" s="149"/>
      <c r="AH342" s="149"/>
      <c r="AI342" s="149"/>
      <c r="AJ342" s="149"/>
      <c r="AK342" s="149"/>
      <c r="AL342" s="149"/>
      <c r="AM342" s="149"/>
      <c r="AN342" s="149"/>
      <c r="AP342" s="2"/>
      <c r="AS342" s="19"/>
      <c r="BM342" s="19"/>
      <c r="BN342" s="2"/>
      <c r="BR342" s="19"/>
    </row>
    <row r="343" spans="1:70" x14ac:dyDescent="0.35">
      <c r="A343" s="149"/>
      <c r="E343" s="149"/>
      <c r="F343" s="149"/>
      <c r="G343" s="149"/>
      <c r="H343" s="149"/>
      <c r="I343" s="149"/>
      <c r="J343" s="149"/>
      <c r="K343" s="149"/>
      <c r="L343" s="149"/>
      <c r="M343" s="149"/>
      <c r="N343" s="149"/>
      <c r="O343" s="149"/>
      <c r="P343" s="149"/>
      <c r="Q343" s="149"/>
      <c r="R343" s="149"/>
      <c r="S343" s="149"/>
      <c r="T343" s="149"/>
      <c r="U343" s="149"/>
      <c r="V343" s="149"/>
      <c r="W343" s="149"/>
      <c r="X343" s="149"/>
      <c r="Y343" s="149"/>
      <c r="Z343" s="149"/>
      <c r="AA343" s="149"/>
      <c r="AB343" s="149"/>
      <c r="AC343" s="149"/>
      <c r="AD343" s="149"/>
      <c r="AE343" s="149"/>
      <c r="AF343" s="149"/>
      <c r="AG343" s="149"/>
      <c r="AH343" s="149"/>
      <c r="AI343" s="149"/>
      <c r="AJ343" s="149"/>
      <c r="AK343" s="149"/>
      <c r="AL343" s="149"/>
      <c r="AM343" s="149"/>
      <c r="AN343" s="149"/>
      <c r="AP343" s="2"/>
      <c r="AS343" s="19"/>
      <c r="BM343" s="19"/>
      <c r="BN343" s="2"/>
      <c r="BR343" s="19"/>
    </row>
    <row r="344" spans="1:70" x14ac:dyDescent="0.35">
      <c r="A344" s="149"/>
      <c r="E344" s="149"/>
      <c r="F344" s="149"/>
      <c r="G344" s="149"/>
      <c r="H344" s="149"/>
      <c r="I344" s="149"/>
      <c r="J344" s="149"/>
      <c r="K344" s="149"/>
      <c r="L344" s="149"/>
      <c r="M344" s="149"/>
      <c r="N344" s="149"/>
      <c r="O344" s="149"/>
      <c r="P344" s="149"/>
      <c r="Q344" s="149"/>
      <c r="R344" s="149"/>
      <c r="S344" s="149"/>
      <c r="T344" s="149"/>
      <c r="U344" s="149"/>
      <c r="V344" s="149"/>
      <c r="W344" s="149"/>
      <c r="X344" s="149"/>
      <c r="Y344" s="149"/>
      <c r="Z344" s="149"/>
      <c r="AA344" s="149"/>
      <c r="AB344" s="149"/>
      <c r="AC344" s="149"/>
      <c r="AD344" s="149"/>
      <c r="AE344" s="149"/>
      <c r="AF344" s="149"/>
      <c r="AG344" s="149"/>
      <c r="AH344" s="149"/>
      <c r="AI344" s="149"/>
      <c r="AJ344" s="149"/>
      <c r="AK344" s="149"/>
      <c r="AL344" s="149"/>
      <c r="AM344" s="149"/>
      <c r="AN344" s="149"/>
      <c r="AP344" s="2"/>
      <c r="AS344" s="19"/>
      <c r="BM344" s="19"/>
      <c r="BN344" s="2"/>
      <c r="BR344" s="19"/>
    </row>
    <row r="345" spans="1:70" x14ac:dyDescent="0.35">
      <c r="A345" s="149"/>
      <c r="E345" s="149"/>
      <c r="F345" s="149"/>
      <c r="G345" s="149"/>
      <c r="H345" s="149"/>
      <c r="I345" s="149"/>
      <c r="J345" s="149"/>
      <c r="K345" s="149"/>
      <c r="L345" s="149"/>
      <c r="M345" s="149"/>
      <c r="N345" s="149"/>
      <c r="O345" s="149"/>
      <c r="P345" s="149"/>
      <c r="Q345" s="149"/>
      <c r="R345" s="149"/>
      <c r="S345" s="149"/>
      <c r="T345" s="149"/>
      <c r="U345" s="149"/>
      <c r="V345" s="149"/>
      <c r="W345" s="149"/>
      <c r="X345" s="149"/>
      <c r="Y345" s="149"/>
      <c r="Z345" s="149"/>
      <c r="AA345" s="149"/>
      <c r="AB345" s="149"/>
      <c r="AC345" s="149"/>
      <c r="AD345" s="149"/>
      <c r="AE345" s="149"/>
      <c r="AF345" s="149"/>
      <c r="AG345" s="149"/>
      <c r="AH345" s="149"/>
      <c r="AI345" s="149"/>
      <c r="AJ345" s="149"/>
      <c r="AK345" s="149"/>
      <c r="AL345" s="149"/>
      <c r="AM345" s="149"/>
      <c r="AN345" s="149"/>
      <c r="AP345" s="2"/>
      <c r="AS345" s="19"/>
      <c r="BM345" s="19"/>
      <c r="BN345" s="2"/>
      <c r="BR345" s="19"/>
    </row>
    <row r="346" spans="1:70" x14ac:dyDescent="0.35">
      <c r="A346" s="149"/>
      <c r="E346" s="149"/>
      <c r="F346" s="149"/>
      <c r="G346" s="149"/>
      <c r="H346" s="149"/>
      <c r="I346" s="149"/>
      <c r="J346" s="149"/>
      <c r="K346" s="149"/>
      <c r="L346" s="149"/>
      <c r="M346" s="149"/>
      <c r="N346" s="149"/>
      <c r="O346" s="149"/>
      <c r="P346" s="149"/>
      <c r="Q346" s="149"/>
      <c r="R346" s="149"/>
      <c r="S346" s="149"/>
      <c r="T346" s="149"/>
      <c r="U346" s="149"/>
      <c r="V346" s="149"/>
      <c r="W346" s="149"/>
      <c r="X346" s="149"/>
      <c r="Y346" s="149"/>
      <c r="Z346" s="149"/>
      <c r="AA346" s="149"/>
      <c r="AB346" s="149"/>
      <c r="AC346" s="149"/>
      <c r="AD346" s="149"/>
      <c r="AE346" s="149"/>
      <c r="AF346" s="149"/>
      <c r="AG346" s="149"/>
      <c r="AH346" s="149"/>
      <c r="AI346" s="149"/>
      <c r="AJ346" s="149"/>
      <c r="AK346" s="149"/>
      <c r="AL346" s="149"/>
      <c r="AM346" s="149"/>
      <c r="AN346" s="149"/>
      <c r="AP346" s="2"/>
      <c r="AS346" s="19"/>
      <c r="BM346" s="19"/>
      <c r="BN346" s="2"/>
      <c r="BR346" s="19"/>
    </row>
    <row r="347" spans="1:70" x14ac:dyDescent="0.35">
      <c r="A347" s="149"/>
      <c r="E347" s="149"/>
      <c r="F347" s="149"/>
      <c r="G347" s="149"/>
      <c r="H347" s="149"/>
      <c r="I347" s="149"/>
      <c r="J347" s="149"/>
      <c r="K347" s="149"/>
      <c r="L347" s="149"/>
      <c r="M347" s="149"/>
      <c r="N347" s="149"/>
      <c r="O347" s="149"/>
      <c r="P347" s="149"/>
      <c r="Q347" s="149"/>
      <c r="R347" s="149"/>
      <c r="S347" s="149"/>
      <c r="T347" s="149"/>
      <c r="U347" s="149"/>
      <c r="V347" s="149"/>
      <c r="W347" s="149"/>
      <c r="X347" s="149"/>
      <c r="Y347" s="149"/>
      <c r="Z347" s="149"/>
      <c r="AA347" s="149"/>
      <c r="AB347" s="149"/>
      <c r="AC347" s="149"/>
      <c r="AD347" s="149"/>
      <c r="AE347" s="149"/>
      <c r="AF347" s="149"/>
      <c r="AG347" s="149"/>
      <c r="AH347" s="149"/>
      <c r="AI347" s="149"/>
      <c r="AJ347" s="149"/>
      <c r="AK347" s="149"/>
      <c r="AL347" s="149"/>
      <c r="AM347" s="149"/>
      <c r="AN347" s="149"/>
      <c r="AP347" s="2"/>
      <c r="AS347" s="19"/>
      <c r="BM347" s="19"/>
      <c r="BN347" s="2"/>
      <c r="BR347" s="19"/>
    </row>
    <row r="348" spans="1:70" x14ac:dyDescent="0.35">
      <c r="A348" s="149"/>
      <c r="E348" s="149"/>
      <c r="F348" s="149"/>
      <c r="G348" s="149"/>
      <c r="H348" s="149"/>
      <c r="I348" s="149"/>
      <c r="J348" s="149"/>
      <c r="K348" s="149"/>
      <c r="L348" s="149"/>
      <c r="M348" s="149"/>
      <c r="N348" s="149"/>
      <c r="O348" s="149"/>
      <c r="P348" s="149"/>
      <c r="Q348" s="149"/>
      <c r="R348" s="149"/>
      <c r="S348" s="149"/>
      <c r="T348" s="149"/>
      <c r="U348" s="149"/>
      <c r="V348" s="149"/>
      <c r="W348" s="149"/>
      <c r="X348" s="149"/>
      <c r="Y348" s="149"/>
      <c r="Z348" s="149"/>
      <c r="AA348" s="149"/>
      <c r="AB348" s="149"/>
      <c r="AC348" s="149"/>
      <c r="AD348" s="149"/>
      <c r="AE348" s="149"/>
      <c r="AF348" s="149"/>
      <c r="AG348" s="149"/>
      <c r="AH348" s="149"/>
      <c r="AI348" s="149"/>
      <c r="AJ348" s="149"/>
      <c r="AK348" s="149"/>
      <c r="AL348" s="149"/>
      <c r="AM348" s="149"/>
      <c r="AN348" s="149"/>
      <c r="AP348" s="2"/>
      <c r="AS348" s="19"/>
      <c r="BM348" s="19"/>
      <c r="BN348" s="2"/>
      <c r="BR348" s="19"/>
    </row>
    <row r="349" spans="1:70" x14ac:dyDescent="0.35">
      <c r="A349" s="149"/>
      <c r="E349" s="149"/>
      <c r="F349" s="149"/>
      <c r="G349" s="149"/>
      <c r="H349" s="149"/>
      <c r="I349" s="149"/>
      <c r="J349" s="149"/>
      <c r="K349" s="149"/>
      <c r="L349" s="149"/>
      <c r="M349" s="149"/>
      <c r="N349" s="149"/>
      <c r="O349" s="149"/>
      <c r="P349" s="149"/>
      <c r="Q349" s="149"/>
      <c r="R349" s="149"/>
      <c r="S349" s="149"/>
      <c r="T349" s="149"/>
      <c r="U349" s="149"/>
      <c r="V349" s="149"/>
      <c r="W349" s="149"/>
      <c r="X349" s="149"/>
      <c r="Y349" s="149"/>
      <c r="Z349" s="149"/>
      <c r="AA349" s="149"/>
      <c r="AB349" s="149"/>
      <c r="AC349" s="149"/>
      <c r="AD349" s="149"/>
      <c r="AE349" s="149"/>
      <c r="AF349" s="149"/>
      <c r="AG349" s="149"/>
      <c r="AH349" s="149"/>
      <c r="AI349" s="149"/>
      <c r="AJ349" s="149"/>
      <c r="AK349" s="149"/>
      <c r="AL349" s="149"/>
      <c r="AM349" s="149"/>
      <c r="AN349" s="149"/>
      <c r="AP349" s="2"/>
      <c r="AS349" s="19"/>
      <c r="BM349" s="19"/>
      <c r="BN349" s="2"/>
      <c r="BR349" s="19"/>
    </row>
    <row r="350" spans="1:70" x14ac:dyDescent="0.35">
      <c r="A350" s="149"/>
      <c r="E350" s="149"/>
      <c r="F350" s="149"/>
      <c r="G350" s="149"/>
      <c r="H350" s="149"/>
      <c r="I350" s="149"/>
      <c r="J350" s="149"/>
      <c r="K350" s="149"/>
      <c r="L350" s="149"/>
      <c r="M350" s="149"/>
      <c r="N350" s="149"/>
      <c r="O350" s="149"/>
      <c r="P350" s="149"/>
      <c r="Q350" s="149"/>
      <c r="R350" s="149"/>
      <c r="S350" s="149"/>
      <c r="T350" s="149"/>
      <c r="U350" s="149"/>
      <c r="V350" s="149"/>
      <c r="W350" s="149"/>
      <c r="X350" s="149"/>
      <c r="Y350" s="149"/>
      <c r="Z350" s="149"/>
      <c r="AA350" s="149"/>
      <c r="AB350" s="149"/>
      <c r="AC350" s="149"/>
      <c r="AD350" s="149"/>
      <c r="AE350" s="149"/>
      <c r="AF350" s="149"/>
      <c r="AG350" s="149"/>
      <c r="AH350" s="149"/>
      <c r="AI350" s="149"/>
      <c r="AJ350" s="149"/>
      <c r="AK350" s="149"/>
      <c r="AL350" s="149"/>
      <c r="AM350" s="149"/>
      <c r="AN350" s="149"/>
      <c r="AP350" s="2"/>
      <c r="AS350" s="19"/>
      <c r="BM350" s="19"/>
      <c r="BN350" s="2"/>
      <c r="BR350" s="19"/>
    </row>
    <row r="351" spans="1:70" x14ac:dyDescent="0.35">
      <c r="A351" s="149"/>
      <c r="E351" s="149"/>
      <c r="F351" s="149"/>
      <c r="G351" s="149"/>
      <c r="H351" s="149"/>
      <c r="I351" s="149"/>
      <c r="J351" s="149"/>
      <c r="K351" s="149"/>
      <c r="L351" s="149"/>
      <c r="M351" s="149"/>
      <c r="N351" s="149"/>
      <c r="O351" s="149"/>
      <c r="P351" s="149"/>
      <c r="Q351" s="149"/>
      <c r="R351" s="149"/>
      <c r="S351" s="149"/>
      <c r="T351" s="149"/>
      <c r="U351" s="149"/>
      <c r="V351" s="149"/>
      <c r="W351" s="149"/>
      <c r="X351" s="149"/>
      <c r="Y351" s="149"/>
      <c r="Z351" s="149"/>
      <c r="AA351" s="149"/>
      <c r="AB351" s="149"/>
      <c r="AC351" s="149"/>
      <c r="AD351" s="149"/>
      <c r="AE351" s="149"/>
      <c r="AF351" s="149"/>
      <c r="AG351" s="149"/>
      <c r="AH351" s="149"/>
      <c r="AI351" s="149"/>
      <c r="AJ351" s="149"/>
      <c r="AK351" s="149"/>
      <c r="AL351" s="149"/>
      <c r="AM351" s="149"/>
      <c r="AN351" s="149"/>
      <c r="AP351" s="2"/>
      <c r="AS351" s="19"/>
      <c r="BM351" s="19"/>
      <c r="BN351" s="2"/>
      <c r="BR351" s="19"/>
    </row>
    <row r="352" spans="1:70" x14ac:dyDescent="0.35">
      <c r="A352" s="149"/>
      <c r="E352" s="149"/>
      <c r="F352" s="149"/>
      <c r="G352" s="149"/>
      <c r="H352" s="149"/>
      <c r="I352" s="149"/>
      <c r="J352" s="149"/>
      <c r="K352" s="149"/>
      <c r="L352" s="149"/>
      <c r="M352" s="149"/>
      <c r="N352" s="149"/>
      <c r="O352" s="149"/>
      <c r="P352" s="149"/>
      <c r="Q352" s="149"/>
      <c r="R352" s="149"/>
      <c r="S352" s="149"/>
      <c r="T352" s="149"/>
      <c r="U352" s="149"/>
      <c r="V352" s="149"/>
      <c r="W352" s="149"/>
      <c r="X352" s="149"/>
      <c r="Y352" s="149"/>
      <c r="Z352" s="149"/>
      <c r="AA352" s="149"/>
      <c r="AB352" s="149"/>
      <c r="AC352" s="149"/>
      <c r="AD352" s="149"/>
      <c r="AE352" s="149"/>
      <c r="AF352" s="149"/>
      <c r="AG352" s="149"/>
      <c r="AH352" s="149"/>
      <c r="AI352" s="149"/>
      <c r="AJ352" s="149"/>
      <c r="AK352" s="149"/>
      <c r="AL352" s="149"/>
      <c r="AM352" s="149"/>
      <c r="AN352" s="149"/>
      <c r="AP352" s="2"/>
      <c r="AS352" s="19"/>
      <c r="BM352" s="19"/>
      <c r="BN352" s="2"/>
      <c r="BR352" s="19"/>
    </row>
    <row r="353" spans="1:70" x14ac:dyDescent="0.35">
      <c r="A353" s="149"/>
      <c r="E353" s="149"/>
      <c r="F353" s="149"/>
      <c r="G353" s="149"/>
      <c r="H353" s="149"/>
      <c r="I353" s="149"/>
      <c r="J353" s="149"/>
      <c r="K353" s="149"/>
      <c r="L353" s="149"/>
      <c r="M353" s="149"/>
      <c r="N353" s="149"/>
      <c r="O353" s="149"/>
      <c r="P353" s="149"/>
      <c r="Q353" s="149"/>
      <c r="R353" s="149"/>
      <c r="S353" s="149"/>
      <c r="T353" s="149"/>
      <c r="U353" s="149"/>
      <c r="V353" s="149"/>
      <c r="W353" s="149"/>
      <c r="X353" s="149"/>
      <c r="Y353" s="149"/>
      <c r="Z353" s="149"/>
      <c r="AA353" s="149"/>
      <c r="AB353" s="149"/>
      <c r="AC353" s="149"/>
      <c r="AD353" s="149"/>
      <c r="AE353" s="149"/>
      <c r="AF353" s="149"/>
      <c r="AG353" s="149"/>
      <c r="AH353" s="149"/>
      <c r="AI353" s="149"/>
      <c r="AJ353" s="149"/>
      <c r="AK353" s="149"/>
      <c r="AL353" s="149"/>
      <c r="AM353" s="149"/>
      <c r="AN353" s="149"/>
      <c r="AP353" s="2"/>
      <c r="AS353" s="19"/>
      <c r="BM353" s="19"/>
      <c r="BN353" s="2"/>
      <c r="BR353" s="19"/>
    </row>
    <row r="354" spans="1:70" x14ac:dyDescent="0.35">
      <c r="A354" s="149"/>
      <c r="E354" s="149"/>
      <c r="F354" s="149"/>
      <c r="G354" s="149"/>
      <c r="H354" s="149"/>
      <c r="I354" s="149"/>
      <c r="J354" s="149"/>
      <c r="K354" s="149"/>
      <c r="L354" s="149"/>
      <c r="M354" s="149"/>
      <c r="N354" s="149"/>
      <c r="O354" s="149"/>
      <c r="P354" s="149"/>
      <c r="Q354" s="149"/>
      <c r="R354" s="149"/>
      <c r="S354" s="149"/>
      <c r="T354" s="149"/>
      <c r="U354" s="149"/>
      <c r="V354" s="149"/>
      <c r="W354" s="149"/>
      <c r="X354" s="149"/>
      <c r="Y354" s="149"/>
      <c r="Z354" s="149"/>
      <c r="AA354" s="149"/>
      <c r="AB354" s="149"/>
      <c r="AC354" s="149"/>
      <c r="AD354" s="149"/>
      <c r="AE354" s="149"/>
      <c r="AF354" s="149"/>
      <c r="AG354" s="149"/>
      <c r="AH354" s="149"/>
      <c r="AI354" s="149"/>
      <c r="AJ354" s="149"/>
      <c r="AK354" s="149"/>
      <c r="AL354" s="149"/>
      <c r="AM354" s="149"/>
      <c r="AN354" s="149"/>
      <c r="AP354" s="2"/>
      <c r="AS354" s="19"/>
      <c r="BM354" s="19"/>
      <c r="BN354" s="2"/>
      <c r="BR354" s="19"/>
    </row>
    <row r="355" spans="1:70" x14ac:dyDescent="0.35">
      <c r="A355" s="149"/>
      <c r="E355" s="149"/>
      <c r="F355" s="149"/>
      <c r="G355" s="149"/>
      <c r="H355" s="149"/>
      <c r="I355" s="149"/>
      <c r="J355" s="149"/>
      <c r="K355" s="149"/>
      <c r="L355" s="149"/>
      <c r="M355" s="149"/>
      <c r="N355" s="149"/>
      <c r="O355" s="149"/>
      <c r="P355" s="149"/>
      <c r="Q355" s="149"/>
      <c r="R355" s="149"/>
      <c r="S355" s="149"/>
      <c r="T355" s="149"/>
      <c r="U355" s="149"/>
      <c r="V355" s="149"/>
      <c r="W355" s="149"/>
      <c r="X355" s="149"/>
      <c r="Y355" s="149"/>
      <c r="Z355" s="149"/>
      <c r="AA355" s="149"/>
      <c r="AB355" s="149"/>
      <c r="AC355" s="149"/>
      <c r="AD355" s="149"/>
      <c r="AE355" s="149"/>
      <c r="AF355" s="149"/>
      <c r="AG355" s="149"/>
      <c r="AH355" s="149"/>
      <c r="AI355" s="149"/>
      <c r="AJ355" s="149"/>
      <c r="AK355" s="149"/>
      <c r="AL355" s="149"/>
      <c r="AM355" s="149"/>
      <c r="AN355" s="149"/>
      <c r="AP355" s="2"/>
      <c r="AS355" s="19"/>
      <c r="BM355" s="19"/>
      <c r="BN355" s="2"/>
      <c r="BR355" s="19"/>
    </row>
    <row r="356" spans="1:70" x14ac:dyDescent="0.35">
      <c r="A356" s="149"/>
      <c r="E356" s="149"/>
      <c r="F356" s="149"/>
      <c r="G356" s="149"/>
      <c r="H356" s="149"/>
      <c r="I356" s="149"/>
      <c r="J356" s="149"/>
      <c r="K356" s="149"/>
      <c r="L356" s="149"/>
      <c r="M356" s="149"/>
      <c r="N356" s="149"/>
      <c r="O356" s="149"/>
      <c r="P356" s="149"/>
      <c r="Q356" s="149"/>
      <c r="R356" s="149"/>
      <c r="S356" s="149"/>
      <c r="T356" s="149"/>
      <c r="U356" s="149"/>
      <c r="V356" s="149"/>
      <c r="W356" s="149"/>
      <c r="X356" s="149"/>
      <c r="Y356" s="149"/>
      <c r="Z356" s="149"/>
      <c r="AA356" s="149"/>
      <c r="AB356" s="149"/>
      <c r="AC356" s="149"/>
      <c r="AD356" s="149"/>
      <c r="AE356" s="149"/>
      <c r="AF356" s="149"/>
      <c r="AG356" s="149"/>
      <c r="AH356" s="149"/>
      <c r="AI356" s="149"/>
      <c r="AJ356" s="149"/>
      <c r="AK356" s="149"/>
      <c r="AL356" s="149"/>
      <c r="AM356" s="149"/>
      <c r="AN356" s="149"/>
      <c r="AP356" s="2"/>
      <c r="AS356" s="19"/>
      <c r="BM356" s="19"/>
      <c r="BN356" s="2"/>
      <c r="BR356" s="19"/>
    </row>
    <row r="357" spans="1:70" x14ac:dyDescent="0.35">
      <c r="A357" s="149"/>
      <c r="E357" s="149"/>
      <c r="F357" s="149"/>
      <c r="G357" s="149"/>
      <c r="H357" s="149"/>
      <c r="I357" s="149"/>
      <c r="J357" s="149"/>
      <c r="K357" s="149"/>
      <c r="L357" s="149"/>
      <c r="M357" s="149"/>
      <c r="N357" s="149"/>
      <c r="O357" s="149"/>
      <c r="P357" s="149"/>
      <c r="Q357" s="149"/>
      <c r="R357" s="149"/>
      <c r="S357" s="149"/>
      <c r="T357" s="149"/>
      <c r="U357" s="149"/>
      <c r="V357" s="149"/>
      <c r="W357" s="149"/>
      <c r="X357" s="149"/>
      <c r="Y357" s="149"/>
      <c r="Z357" s="149"/>
      <c r="AA357" s="149"/>
      <c r="AB357" s="149"/>
      <c r="AC357" s="149"/>
      <c r="AD357" s="149"/>
      <c r="AE357" s="149"/>
      <c r="AF357" s="149"/>
      <c r="AG357" s="149"/>
      <c r="AH357" s="149"/>
      <c r="AI357" s="149"/>
      <c r="AJ357" s="149"/>
      <c r="AK357" s="149"/>
      <c r="AL357" s="149"/>
      <c r="AM357" s="149"/>
      <c r="AN357" s="149"/>
      <c r="AP357" s="2"/>
      <c r="AS357" s="19"/>
      <c r="BM357" s="19"/>
      <c r="BN357" s="2"/>
      <c r="BR357" s="19"/>
    </row>
    <row r="358" spans="1:70" x14ac:dyDescent="0.35">
      <c r="A358" s="149"/>
      <c r="E358" s="149"/>
      <c r="F358" s="149"/>
      <c r="G358" s="149"/>
      <c r="H358" s="149"/>
      <c r="I358" s="149"/>
      <c r="J358" s="149"/>
      <c r="K358" s="149"/>
      <c r="L358" s="149"/>
      <c r="M358" s="149"/>
      <c r="N358" s="149"/>
      <c r="O358" s="149"/>
      <c r="P358" s="149"/>
      <c r="Q358" s="149"/>
      <c r="R358" s="149"/>
      <c r="S358" s="149"/>
      <c r="T358" s="149"/>
      <c r="U358" s="149"/>
      <c r="V358" s="149"/>
      <c r="W358" s="149"/>
      <c r="X358" s="149"/>
      <c r="Y358" s="149"/>
      <c r="Z358" s="149"/>
      <c r="AA358" s="149"/>
      <c r="AB358" s="149"/>
      <c r="AC358" s="149"/>
      <c r="AD358" s="149"/>
      <c r="AE358" s="149"/>
      <c r="AF358" s="149"/>
      <c r="AG358" s="149"/>
      <c r="AH358" s="149"/>
      <c r="AI358" s="149"/>
      <c r="AJ358" s="149"/>
      <c r="AK358" s="149"/>
      <c r="AL358" s="149"/>
      <c r="AM358" s="149"/>
      <c r="AN358" s="149"/>
      <c r="AP358" s="2"/>
      <c r="AS358" s="19"/>
      <c r="BM358" s="19"/>
      <c r="BN358" s="2"/>
      <c r="BR358" s="19"/>
    </row>
    <row r="359" spans="1:70" x14ac:dyDescent="0.35">
      <c r="A359" s="149"/>
      <c r="E359" s="149"/>
      <c r="F359" s="149"/>
      <c r="G359" s="149"/>
      <c r="H359" s="149"/>
      <c r="I359" s="149"/>
      <c r="J359" s="149"/>
      <c r="K359" s="149"/>
      <c r="L359" s="149"/>
      <c r="M359" s="149"/>
      <c r="N359" s="149"/>
      <c r="O359" s="149"/>
      <c r="P359" s="149"/>
      <c r="Q359" s="149"/>
      <c r="R359" s="149"/>
      <c r="S359" s="149"/>
      <c r="T359" s="149"/>
      <c r="U359" s="149"/>
      <c r="V359" s="149"/>
      <c r="W359" s="149"/>
      <c r="X359" s="149"/>
      <c r="Y359" s="149"/>
      <c r="Z359" s="149"/>
      <c r="AA359" s="149"/>
      <c r="AB359" s="149"/>
      <c r="AC359" s="149"/>
      <c r="AD359" s="149"/>
      <c r="AE359" s="149"/>
      <c r="AF359" s="149"/>
      <c r="AG359" s="149"/>
      <c r="AH359" s="149"/>
      <c r="AI359" s="149"/>
      <c r="AJ359" s="149"/>
      <c r="AK359" s="149"/>
      <c r="AL359" s="149"/>
      <c r="AM359" s="149"/>
      <c r="AN359" s="149"/>
      <c r="AP359" s="2"/>
      <c r="AS359" s="19"/>
      <c r="BM359" s="19"/>
      <c r="BN359" s="2"/>
      <c r="BR359" s="19"/>
    </row>
    <row r="360" spans="1:70" x14ac:dyDescent="0.35">
      <c r="A360" s="149"/>
      <c r="E360" s="149"/>
      <c r="F360" s="149"/>
      <c r="G360" s="149"/>
      <c r="H360" s="149"/>
      <c r="I360" s="149"/>
      <c r="J360" s="149"/>
      <c r="K360" s="149"/>
      <c r="L360" s="149"/>
      <c r="M360" s="149"/>
      <c r="N360" s="149"/>
      <c r="O360" s="149"/>
      <c r="P360" s="149"/>
      <c r="Q360" s="149"/>
      <c r="R360" s="149"/>
      <c r="S360" s="149"/>
      <c r="T360" s="149"/>
      <c r="U360" s="149"/>
      <c r="V360" s="149"/>
      <c r="W360" s="149"/>
      <c r="X360" s="149"/>
      <c r="Y360" s="149"/>
      <c r="Z360" s="149"/>
      <c r="AA360" s="149"/>
      <c r="AB360" s="149"/>
      <c r="AC360" s="149"/>
      <c r="AD360" s="149"/>
      <c r="AE360" s="149"/>
      <c r="AF360" s="149"/>
      <c r="AG360" s="149"/>
      <c r="AH360" s="149"/>
      <c r="AI360" s="149"/>
      <c r="AJ360" s="149"/>
      <c r="AK360" s="149"/>
      <c r="AL360" s="149"/>
      <c r="AM360" s="149"/>
      <c r="AN360" s="149"/>
      <c r="AP360" s="2"/>
      <c r="AS360" s="19"/>
      <c r="BM360" s="19"/>
      <c r="BN360" s="2"/>
      <c r="BR360" s="19"/>
    </row>
    <row r="361" spans="1:70" x14ac:dyDescent="0.35">
      <c r="A361" s="149"/>
      <c r="E361" s="149"/>
      <c r="F361" s="149"/>
      <c r="G361" s="149"/>
      <c r="H361" s="149"/>
      <c r="I361" s="149"/>
      <c r="J361" s="149"/>
      <c r="K361" s="149"/>
      <c r="L361" s="149"/>
      <c r="M361" s="149"/>
      <c r="N361" s="149"/>
      <c r="O361" s="149"/>
      <c r="P361" s="149"/>
      <c r="Q361" s="149"/>
      <c r="R361" s="149"/>
      <c r="S361" s="149"/>
      <c r="T361" s="149"/>
      <c r="U361" s="149"/>
      <c r="V361" s="149"/>
      <c r="W361" s="149"/>
      <c r="X361" s="149"/>
      <c r="Y361" s="149"/>
      <c r="Z361" s="149"/>
      <c r="AA361" s="149"/>
      <c r="AB361" s="149"/>
      <c r="AC361" s="149"/>
      <c r="AD361" s="149"/>
      <c r="AE361" s="149"/>
      <c r="AF361" s="149"/>
      <c r="AG361" s="149"/>
      <c r="AH361" s="149"/>
      <c r="AI361" s="149"/>
      <c r="AJ361" s="149"/>
      <c r="AK361" s="149"/>
      <c r="AL361" s="149"/>
      <c r="AM361" s="149"/>
      <c r="AN361" s="149"/>
      <c r="AP361" s="2"/>
      <c r="AS361" s="19"/>
      <c r="BM361" s="19"/>
      <c r="BN361" s="2"/>
      <c r="BR361" s="19"/>
    </row>
    <row r="362" spans="1:70" x14ac:dyDescent="0.35">
      <c r="A362" s="149"/>
      <c r="E362" s="149"/>
      <c r="F362" s="149"/>
      <c r="G362" s="149"/>
      <c r="H362" s="149"/>
      <c r="I362" s="149"/>
      <c r="J362" s="149"/>
      <c r="K362" s="149"/>
      <c r="L362" s="149"/>
      <c r="M362" s="149"/>
      <c r="N362" s="149"/>
      <c r="O362" s="149"/>
      <c r="P362" s="149"/>
      <c r="Q362" s="149"/>
      <c r="R362" s="149"/>
      <c r="S362" s="149"/>
      <c r="T362" s="149"/>
      <c r="U362" s="149"/>
      <c r="V362" s="149"/>
      <c r="W362" s="149"/>
      <c r="X362" s="149"/>
      <c r="Y362" s="149"/>
      <c r="Z362" s="149"/>
      <c r="AA362" s="149"/>
      <c r="AB362" s="149"/>
      <c r="AC362" s="149"/>
      <c r="AD362" s="149"/>
      <c r="AE362" s="149"/>
      <c r="AF362" s="149"/>
      <c r="AG362" s="149"/>
      <c r="AH362" s="149"/>
      <c r="AI362" s="149"/>
      <c r="AJ362" s="149"/>
      <c r="AK362" s="149"/>
      <c r="AL362" s="149"/>
      <c r="AM362" s="149"/>
      <c r="AN362" s="149"/>
      <c r="AP362" s="2"/>
      <c r="AS362" s="19"/>
      <c r="BM362" s="19"/>
      <c r="BN362" s="2"/>
      <c r="BR362" s="19"/>
    </row>
    <row r="363" spans="1:70" x14ac:dyDescent="0.35">
      <c r="A363" s="149"/>
      <c r="E363" s="149"/>
      <c r="F363" s="149"/>
      <c r="G363" s="149"/>
      <c r="H363" s="149"/>
      <c r="I363" s="149"/>
      <c r="J363" s="149"/>
      <c r="K363" s="149"/>
      <c r="L363" s="149"/>
      <c r="M363" s="149"/>
      <c r="N363" s="149"/>
      <c r="O363" s="149"/>
      <c r="P363" s="149"/>
      <c r="Q363" s="149"/>
      <c r="R363" s="149"/>
      <c r="S363" s="149"/>
      <c r="T363" s="149"/>
      <c r="U363" s="149"/>
      <c r="V363" s="149"/>
      <c r="W363" s="149"/>
      <c r="X363" s="149"/>
      <c r="Y363" s="149"/>
      <c r="Z363" s="149"/>
      <c r="AA363" s="149"/>
      <c r="AB363" s="149"/>
      <c r="AC363" s="149"/>
      <c r="AD363" s="149"/>
      <c r="AE363" s="149"/>
      <c r="AF363" s="149"/>
      <c r="AG363" s="149"/>
      <c r="AH363" s="149"/>
      <c r="AI363" s="149"/>
      <c r="AJ363" s="149"/>
      <c r="AK363" s="149"/>
      <c r="AL363" s="149"/>
      <c r="AM363" s="149"/>
      <c r="AN363" s="149"/>
      <c r="AP363" s="2"/>
      <c r="AS363" s="19"/>
      <c r="BM363" s="19"/>
      <c r="BN363" s="2"/>
      <c r="BR363" s="19"/>
    </row>
    <row r="364" spans="1:70" x14ac:dyDescent="0.35">
      <c r="A364" s="149"/>
      <c r="E364" s="149"/>
      <c r="F364" s="149"/>
      <c r="G364" s="149"/>
      <c r="H364" s="149"/>
      <c r="I364" s="149"/>
      <c r="J364" s="149"/>
      <c r="K364" s="149"/>
      <c r="L364" s="149"/>
      <c r="M364" s="149"/>
      <c r="N364" s="149"/>
      <c r="O364" s="149"/>
      <c r="P364" s="149"/>
      <c r="Q364" s="149"/>
      <c r="R364" s="149"/>
      <c r="S364" s="149"/>
      <c r="T364" s="149"/>
      <c r="U364" s="149"/>
      <c r="V364" s="149"/>
      <c r="W364" s="149"/>
      <c r="X364" s="149"/>
      <c r="Y364" s="149"/>
      <c r="Z364" s="149"/>
      <c r="AA364" s="149"/>
      <c r="AB364" s="149"/>
      <c r="AC364" s="149"/>
      <c r="AD364" s="149"/>
      <c r="AE364" s="149"/>
      <c r="AF364" s="149"/>
      <c r="AG364" s="149"/>
      <c r="AH364" s="149"/>
      <c r="AI364" s="149"/>
      <c r="AJ364" s="149"/>
      <c r="AK364" s="149"/>
      <c r="AL364" s="149"/>
      <c r="AM364" s="149"/>
      <c r="AN364" s="149"/>
      <c r="AP364" s="2"/>
      <c r="AS364" s="19"/>
      <c r="BM364" s="19"/>
      <c r="BN364" s="2"/>
      <c r="BR364" s="19"/>
    </row>
    <row r="365" spans="1:70" x14ac:dyDescent="0.35">
      <c r="A365" s="149"/>
      <c r="E365" s="149"/>
      <c r="F365" s="149"/>
      <c r="G365" s="149"/>
      <c r="H365" s="149"/>
      <c r="I365" s="149"/>
      <c r="J365" s="149"/>
      <c r="K365" s="149"/>
      <c r="L365" s="149"/>
      <c r="M365" s="149"/>
      <c r="N365" s="149"/>
      <c r="O365" s="149"/>
      <c r="P365" s="149"/>
      <c r="Q365" s="149"/>
      <c r="R365" s="149"/>
      <c r="S365" s="149"/>
      <c r="T365" s="149"/>
      <c r="U365" s="149"/>
      <c r="V365" s="149"/>
      <c r="W365" s="149"/>
      <c r="X365" s="149"/>
      <c r="Y365" s="149"/>
      <c r="Z365" s="149"/>
      <c r="AA365" s="149"/>
      <c r="AB365" s="149"/>
      <c r="AC365" s="149"/>
      <c r="AD365" s="149"/>
      <c r="AE365" s="149"/>
      <c r="AF365" s="149"/>
      <c r="AG365" s="149"/>
      <c r="AH365" s="149"/>
      <c r="AI365" s="149"/>
      <c r="AJ365" s="149"/>
      <c r="AK365" s="149"/>
      <c r="AL365" s="149"/>
      <c r="AM365" s="149"/>
      <c r="AN365" s="149"/>
      <c r="AP365" s="2"/>
      <c r="AS365" s="19"/>
      <c r="BM365" s="19"/>
      <c r="BN365" s="2"/>
      <c r="BR365" s="19"/>
    </row>
    <row r="366" spans="1:70" x14ac:dyDescent="0.35">
      <c r="A366" s="149"/>
      <c r="E366" s="149"/>
      <c r="F366" s="149"/>
      <c r="G366" s="149"/>
      <c r="H366" s="149"/>
      <c r="I366" s="149"/>
      <c r="J366" s="149"/>
      <c r="K366" s="149"/>
      <c r="L366" s="149"/>
      <c r="M366" s="149"/>
      <c r="N366" s="149"/>
      <c r="O366" s="149"/>
      <c r="P366" s="149"/>
      <c r="Q366" s="149"/>
      <c r="R366" s="149"/>
      <c r="S366" s="149"/>
      <c r="T366" s="149"/>
      <c r="U366" s="149"/>
      <c r="V366" s="149"/>
      <c r="W366" s="149"/>
      <c r="X366" s="149"/>
      <c r="Y366" s="149"/>
      <c r="Z366" s="149"/>
      <c r="AA366" s="149"/>
      <c r="AB366" s="149"/>
      <c r="AC366" s="149"/>
      <c r="AD366" s="149"/>
      <c r="AE366" s="149"/>
      <c r="AF366" s="149"/>
      <c r="AG366" s="149"/>
      <c r="AH366" s="149"/>
      <c r="AI366" s="149"/>
      <c r="AJ366" s="149"/>
      <c r="AK366" s="149"/>
      <c r="AL366" s="149"/>
      <c r="AM366" s="149"/>
      <c r="AN366" s="149"/>
      <c r="AP366" s="2"/>
      <c r="AS366" s="19"/>
      <c r="BM366" s="19"/>
      <c r="BN366" s="2"/>
      <c r="BR366" s="19"/>
    </row>
    <row r="367" spans="1:70" x14ac:dyDescent="0.35">
      <c r="A367" s="149"/>
      <c r="E367" s="149"/>
      <c r="F367" s="149"/>
      <c r="G367" s="149"/>
      <c r="H367" s="149"/>
      <c r="I367" s="149"/>
      <c r="J367" s="149"/>
      <c r="K367" s="149"/>
      <c r="L367" s="149"/>
      <c r="M367" s="149"/>
      <c r="N367" s="149"/>
      <c r="O367" s="149"/>
      <c r="P367" s="149"/>
      <c r="Q367" s="149"/>
      <c r="R367" s="149"/>
      <c r="S367" s="149"/>
      <c r="T367" s="149"/>
      <c r="U367" s="149"/>
      <c r="V367" s="149"/>
      <c r="W367" s="149"/>
      <c r="X367" s="149"/>
      <c r="Y367" s="149"/>
      <c r="Z367" s="149"/>
      <c r="AA367" s="149"/>
      <c r="AB367" s="149"/>
      <c r="AC367" s="149"/>
      <c r="AD367" s="149"/>
      <c r="AE367" s="149"/>
      <c r="AF367" s="149"/>
      <c r="AG367" s="149"/>
      <c r="AH367" s="149"/>
      <c r="AI367" s="149"/>
      <c r="AJ367" s="149"/>
      <c r="AK367" s="149"/>
      <c r="AL367" s="149"/>
      <c r="AM367" s="149"/>
      <c r="AN367" s="149"/>
      <c r="AP367" s="2"/>
      <c r="AS367" s="19"/>
      <c r="BM367" s="19"/>
      <c r="BN367" s="2"/>
      <c r="BR367" s="19"/>
    </row>
    <row r="368" spans="1:70" x14ac:dyDescent="0.35">
      <c r="A368" s="149"/>
      <c r="E368" s="149"/>
      <c r="F368" s="149"/>
      <c r="G368" s="149"/>
      <c r="H368" s="149"/>
      <c r="I368" s="149"/>
      <c r="J368" s="149"/>
      <c r="K368" s="149"/>
      <c r="L368" s="149"/>
      <c r="M368" s="149"/>
      <c r="N368" s="149"/>
      <c r="O368" s="149"/>
      <c r="P368" s="149"/>
      <c r="Q368" s="149"/>
      <c r="R368" s="149"/>
      <c r="S368" s="149"/>
      <c r="T368" s="149"/>
      <c r="U368" s="149"/>
      <c r="V368" s="149"/>
      <c r="W368" s="149"/>
      <c r="X368" s="149"/>
      <c r="Y368" s="149"/>
      <c r="Z368" s="149"/>
      <c r="AA368" s="149"/>
      <c r="AB368" s="149"/>
      <c r="AC368" s="149"/>
      <c r="AD368" s="149"/>
      <c r="AE368" s="149"/>
      <c r="AF368" s="149"/>
      <c r="AG368" s="149"/>
      <c r="AH368" s="149"/>
      <c r="AI368" s="149"/>
      <c r="AJ368" s="149"/>
      <c r="AK368" s="149"/>
      <c r="AL368" s="149"/>
      <c r="AM368" s="149"/>
      <c r="AN368" s="149"/>
      <c r="AP368" s="2"/>
      <c r="AS368" s="19"/>
      <c r="BM368" s="19"/>
      <c r="BN368" s="2"/>
      <c r="BR368" s="19"/>
    </row>
    <row r="369" spans="1:70" x14ac:dyDescent="0.35">
      <c r="A369" s="149"/>
      <c r="E369" s="149"/>
      <c r="F369" s="149"/>
      <c r="G369" s="149"/>
      <c r="H369" s="149"/>
      <c r="I369" s="149"/>
      <c r="J369" s="149"/>
      <c r="K369" s="149"/>
      <c r="L369" s="149"/>
      <c r="M369" s="149"/>
      <c r="N369" s="149"/>
      <c r="O369" s="149"/>
      <c r="P369" s="149"/>
      <c r="Q369" s="149"/>
      <c r="R369" s="149"/>
      <c r="S369" s="149"/>
      <c r="T369" s="149"/>
      <c r="U369" s="149"/>
      <c r="V369" s="149"/>
      <c r="W369" s="149"/>
      <c r="X369" s="149"/>
      <c r="Y369" s="149"/>
      <c r="Z369" s="149"/>
      <c r="AA369" s="149"/>
      <c r="AB369" s="149"/>
      <c r="AC369" s="149"/>
      <c r="AD369" s="149"/>
      <c r="AE369" s="149"/>
      <c r="AF369" s="149"/>
      <c r="AG369" s="149"/>
      <c r="AH369" s="149"/>
      <c r="AI369" s="149"/>
      <c r="AJ369" s="149"/>
      <c r="AK369" s="149"/>
      <c r="AL369" s="149"/>
      <c r="AM369" s="149"/>
      <c r="AN369" s="149"/>
      <c r="AP369" s="2"/>
      <c r="AS369" s="19"/>
      <c r="BM369" s="19"/>
      <c r="BN369" s="2"/>
      <c r="BR369" s="19"/>
    </row>
    <row r="370" spans="1:70" x14ac:dyDescent="0.35">
      <c r="A370" s="149"/>
      <c r="E370" s="149"/>
      <c r="F370" s="149"/>
      <c r="G370" s="149"/>
      <c r="H370" s="149"/>
      <c r="I370" s="149"/>
      <c r="J370" s="149"/>
      <c r="K370" s="149"/>
      <c r="L370" s="149"/>
      <c r="M370" s="149"/>
      <c r="N370" s="149"/>
      <c r="O370" s="149"/>
      <c r="P370" s="149"/>
      <c r="Q370" s="149"/>
      <c r="R370" s="149"/>
      <c r="S370" s="149"/>
      <c r="T370" s="149"/>
      <c r="U370" s="149"/>
      <c r="V370" s="149"/>
      <c r="W370" s="149"/>
      <c r="X370" s="149"/>
      <c r="Y370" s="149"/>
      <c r="Z370" s="149"/>
      <c r="AA370" s="149"/>
      <c r="AB370" s="149"/>
      <c r="AC370" s="149"/>
      <c r="AD370" s="149"/>
      <c r="AE370" s="149"/>
      <c r="AF370" s="149"/>
      <c r="AG370" s="149"/>
      <c r="AH370" s="149"/>
      <c r="AI370" s="149"/>
      <c r="AJ370" s="149"/>
      <c r="AK370" s="149"/>
      <c r="AL370" s="149"/>
      <c r="AM370" s="149"/>
      <c r="AN370" s="149"/>
      <c r="AP370" s="2"/>
      <c r="AS370" s="19"/>
      <c r="BM370" s="19"/>
      <c r="BN370" s="2"/>
      <c r="BR370" s="19"/>
    </row>
    <row r="371" spans="1:70" x14ac:dyDescent="0.35">
      <c r="A371" s="149"/>
      <c r="E371" s="149"/>
      <c r="F371" s="149"/>
      <c r="G371" s="149"/>
      <c r="H371" s="149"/>
      <c r="I371" s="149"/>
      <c r="J371" s="149"/>
      <c r="K371" s="149"/>
      <c r="L371" s="149"/>
      <c r="M371" s="149"/>
      <c r="N371" s="149"/>
      <c r="O371" s="149"/>
      <c r="P371" s="149"/>
      <c r="Q371" s="149"/>
      <c r="R371" s="149"/>
      <c r="S371" s="149"/>
      <c r="T371" s="149"/>
      <c r="U371" s="149"/>
      <c r="V371" s="149"/>
      <c r="W371" s="149"/>
      <c r="X371" s="149"/>
      <c r="Y371" s="149"/>
      <c r="Z371" s="149"/>
      <c r="AA371" s="149"/>
      <c r="AB371" s="149"/>
      <c r="AC371" s="149"/>
      <c r="AD371" s="149"/>
      <c r="AE371" s="149"/>
      <c r="AF371" s="149"/>
      <c r="AG371" s="149"/>
      <c r="AH371" s="149"/>
      <c r="AI371" s="149"/>
      <c r="AJ371" s="149"/>
      <c r="AK371" s="149"/>
      <c r="AL371" s="149"/>
      <c r="AM371" s="149"/>
      <c r="AN371" s="149"/>
      <c r="AP371" s="2"/>
      <c r="AS371" s="19"/>
      <c r="BM371" s="19"/>
      <c r="BN371" s="2"/>
      <c r="BR371" s="19"/>
    </row>
    <row r="372" spans="1:70" x14ac:dyDescent="0.35">
      <c r="A372" s="149"/>
      <c r="E372" s="149"/>
      <c r="F372" s="149"/>
      <c r="G372" s="149"/>
      <c r="H372" s="149"/>
      <c r="I372" s="149"/>
      <c r="J372" s="149"/>
      <c r="K372" s="149"/>
      <c r="L372" s="149"/>
      <c r="M372" s="149"/>
      <c r="N372" s="149"/>
      <c r="O372" s="149"/>
      <c r="P372" s="149"/>
      <c r="Q372" s="149"/>
      <c r="R372" s="149"/>
      <c r="S372" s="149"/>
      <c r="T372" s="149"/>
      <c r="U372" s="149"/>
      <c r="V372" s="149"/>
      <c r="W372" s="149"/>
      <c r="X372" s="149"/>
      <c r="Y372" s="149"/>
      <c r="Z372" s="149"/>
      <c r="AA372" s="149"/>
      <c r="AB372" s="149"/>
      <c r="AC372" s="149"/>
      <c r="AD372" s="149"/>
      <c r="AE372" s="149"/>
      <c r="AF372" s="149"/>
      <c r="AG372" s="149"/>
      <c r="AH372" s="149"/>
      <c r="AI372" s="149"/>
      <c r="AJ372" s="149"/>
      <c r="AK372" s="149"/>
      <c r="AL372" s="149"/>
      <c r="AM372" s="149"/>
      <c r="AN372" s="149"/>
      <c r="AP372" s="2"/>
      <c r="AS372" s="19"/>
      <c r="BM372" s="19"/>
      <c r="BN372" s="2"/>
      <c r="BR372" s="19"/>
    </row>
    <row r="373" spans="1:70" x14ac:dyDescent="0.35">
      <c r="A373" s="149"/>
      <c r="E373" s="149"/>
      <c r="F373" s="149"/>
      <c r="G373" s="149"/>
      <c r="H373" s="149"/>
      <c r="I373" s="149"/>
      <c r="J373" s="149"/>
      <c r="K373" s="149"/>
      <c r="L373" s="149"/>
      <c r="M373" s="149"/>
      <c r="N373" s="149"/>
      <c r="O373" s="149"/>
      <c r="P373" s="149"/>
      <c r="Q373" s="149"/>
      <c r="R373" s="149"/>
      <c r="S373" s="149"/>
      <c r="T373" s="149"/>
      <c r="U373" s="149"/>
      <c r="V373" s="149"/>
      <c r="W373" s="149"/>
      <c r="X373" s="149"/>
      <c r="Y373" s="149"/>
      <c r="Z373" s="149"/>
      <c r="AA373" s="149"/>
      <c r="AB373" s="149"/>
      <c r="AC373" s="149"/>
      <c r="AD373" s="149"/>
      <c r="AE373" s="149"/>
      <c r="AF373" s="149"/>
      <c r="AG373" s="149"/>
      <c r="AH373" s="149"/>
      <c r="AI373" s="149"/>
      <c r="AJ373" s="149"/>
      <c r="AK373" s="149"/>
      <c r="AL373" s="149"/>
      <c r="AM373" s="149"/>
      <c r="AN373" s="149"/>
      <c r="AP373" s="2"/>
      <c r="AS373" s="19"/>
      <c r="BM373" s="19"/>
      <c r="BN373" s="2"/>
      <c r="BR373" s="19"/>
    </row>
    <row r="374" spans="1:70" x14ac:dyDescent="0.35">
      <c r="A374" s="149"/>
      <c r="E374" s="149"/>
      <c r="F374" s="149"/>
      <c r="G374" s="149"/>
      <c r="H374" s="149"/>
      <c r="I374" s="149"/>
      <c r="J374" s="149"/>
      <c r="K374" s="149"/>
      <c r="L374" s="149"/>
      <c r="M374" s="149"/>
      <c r="N374" s="149"/>
      <c r="O374" s="149"/>
      <c r="P374" s="149"/>
      <c r="Q374" s="149"/>
      <c r="R374" s="149"/>
      <c r="S374" s="149"/>
      <c r="T374" s="149"/>
      <c r="U374" s="149"/>
      <c r="V374" s="149"/>
      <c r="W374" s="149"/>
      <c r="X374" s="149"/>
      <c r="Y374" s="149"/>
      <c r="Z374" s="149"/>
      <c r="AA374" s="149"/>
      <c r="AB374" s="149"/>
      <c r="AC374" s="149"/>
      <c r="AD374" s="149"/>
      <c r="AE374" s="149"/>
      <c r="AF374" s="149"/>
      <c r="AG374" s="149"/>
      <c r="AH374" s="149"/>
      <c r="AI374" s="149"/>
      <c r="AJ374" s="149"/>
      <c r="AK374" s="149"/>
      <c r="AL374" s="149"/>
      <c r="AM374" s="149"/>
      <c r="AN374" s="149"/>
      <c r="AP374" s="2"/>
      <c r="AS374" s="19"/>
      <c r="BM374" s="19"/>
      <c r="BN374" s="2"/>
      <c r="BR374" s="19"/>
    </row>
    <row r="375" spans="1:70" x14ac:dyDescent="0.35">
      <c r="A375" s="149"/>
      <c r="E375" s="149"/>
      <c r="F375" s="149"/>
      <c r="G375" s="149"/>
      <c r="H375" s="149"/>
      <c r="I375" s="149"/>
      <c r="J375" s="149"/>
      <c r="K375" s="149"/>
      <c r="L375" s="149"/>
      <c r="M375" s="149"/>
      <c r="N375" s="149"/>
      <c r="O375" s="149"/>
      <c r="P375" s="149"/>
      <c r="Q375" s="149"/>
      <c r="R375" s="149"/>
      <c r="S375" s="149"/>
      <c r="T375" s="149"/>
      <c r="U375" s="149"/>
      <c r="V375" s="149"/>
      <c r="W375" s="149"/>
      <c r="X375" s="149"/>
      <c r="Y375" s="149"/>
      <c r="Z375" s="149"/>
      <c r="AA375" s="149"/>
      <c r="AB375" s="149"/>
      <c r="AC375" s="149"/>
      <c r="AD375" s="149"/>
      <c r="AE375" s="149"/>
      <c r="AF375" s="149"/>
      <c r="AG375" s="149"/>
      <c r="AH375" s="149"/>
      <c r="AI375" s="149"/>
      <c r="AJ375" s="149"/>
      <c r="AK375" s="149"/>
      <c r="AL375" s="149"/>
      <c r="AM375" s="149"/>
      <c r="AN375" s="149"/>
      <c r="AP375" s="2"/>
      <c r="AS375" s="19"/>
      <c r="BM375" s="19"/>
      <c r="BN375" s="2"/>
      <c r="BR375" s="19"/>
    </row>
    <row r="376" spans="1:70" x14ac:dyDescent="0.35">
      <c r="A376" s="149"/>
      <c r="E376" s="149"/>
      <c r="F376" s="149"/>
      <c r="G376" s="149"/>
      <c r="H376" s="149"/>
      <c r="I376" s="149"/>
      <c r="J376" s="149"/>
      <c r="K376" s="149"/>
      <c r="L376" s="149"/>
      <c r="M376" s="149"/>
      <c r="N376" s="149"/>
      <c r="O376" s="149"/>
      <c r="P376" s="149"/>
      <c r="Q376" s="149"/>
      <c r="R376" s="149"/>
      <c r="S376" s="149"/>
      <c r="T376" s="149"/>
      <c r="U376" s="149"/>
      <c r="V376" s="149"/>
      <c r="W376" s="149"/>
      <c r="X376" s="149"/>
      <c r="Y376" s="149"/>
      <c r="Z376" s="149"/>
      <c r="AA376" s="149"/>
      <c r="AB376" s="149"/>
      <c r="AC376" s="149"/>
      <c r="AD376" s="149"/>
      <c r="AE376" s="149"/>
      <c r="AF376" s="149"/>
      <c r="AG376" s="149"/>
      <c r="AH376" s="149"/>
      <c r="AI376" s="149"/>
      <c r="AJ376" s="149"/>
      <c r="AK376" s="149"/>
      <c r="AL376" s="149"/>
      <c r="AM376" s="149"/>
      <c r="AN376" s="149"/>
      <c r="AP376" s="2"/>
      <c r="AS376" s="19"/>
      <c r="BM376" s="19"/>
      <c r="BN376" s="2"/>
      <c r="BR376" s="19"/>
    </row>
    <row r="377" spans="1:70" x14ac:dyDescent="0.35">
      <c r="A377" s="149"/>
      <c r="E377" s="149"/>
      <c r="F377" s="149"/>
      <c r="G377" s="149"/>
      <c r="H377" s="149"/>
      <c r="I377" s="149"/>
      <c r="J377" s="149"/>
      <c r="K377" s="149"/>
      <c r="L377" s="149"/>
      <c r="M377" s="149"/>
      <c r="N377" s="149"/>
      <c r="O377" s="149"/>
      <c r="P377" s="149"/>
      <c r="Q377" s="149"/>
      <c r="R377" s="149"/>
      <c r="S377" s="149"/>
      <c r="T377" s="149"/>
      <c r="U377" s="149"/>
      <c r="V377" s="149"/>
      <c r="W377" s="149"/>
      <c r="X377" s="149"/>
      <c r="Y377" s="149"/>
      <c r="Z377" s="149"/>
      <c r="AA377" s="149"/>
      <c r="AB377" s="149"/>
      <c r="AC377" s="149"/>
      <c r="AD377" s="149"/>
      <c r="AE377" s="149"/>
      <c r="AF377" s="149"/>
      <c r="AG377" s="149"/>
      <c r="AH377" s="149"/>
      <c r="AI377" s="149"/>
      <c r="AJ377" s="149"/>
      <c r="AK377" s="149"/>
      <c r="AL377" s="149"/>
      <c r="AM377" s="149"/>
      <c r="AN377" s="149"/>
      <c r="AP377" s="2"/>
      <c r="AS377" s="19"/>
      <c r="BM377" s="19"/>
      <c r="BN377" s="2"/>
      <c r="BR377" s="19"/>
    </row>
    <row r="378" spans="1:70" x14ac:dyDescent="0.35">
      <c r="A378" s="149"/>
      <c r="E378" s="149"/>
      <c r="F378" s="149"/>
      <c r="G378" s="149"/>
      <c r="H378" s="149"/>
      <c r="I378" s="149"/>
      <c r="J378" s="149"/>
      <c r="K378" s="149"/>
      <c r="L378" s="149"/>
      <c r="M378" s="149"/>
      <c r="N378" s="149"/>
      <c r="O378" s="149"/>
      <c r="P378" s="149"/>
      <c r="Q378" s="149"/>
      <c r="R378" s="149"/>
      <c r="S378" s="149"/>
      <c r="T378" s="149"/>
      <c r="U378" s="149"/>
      <c r="V378" s="149"/>
      <c r="W378" s="149"/>
      <c r="X378" s="149"/>
      <c r="Y378" s="149"/>
      <c r="Z378" s="149"/>
      <c r="AA378" s="149"/>
      <c r="AB378" s="149"/>
      <c r="AC378" s="149"/>
      <c r="AD378" s="149"/>
      <c r="AE378" s="149"/>
      <c r="AF378" s="149"/>
      <c r="AG378" s="149"/>
      <c r="AH378" s="149"/>
      <c r="AI378" s="149"/>
      <c r="AJ378" s="149"/>
      <c r="AK378" s="149"/>
      <c r="AL378" s="149"/>
      <c r="AM378" s="149"/>
      <c r="AN378" s="149"/>
      <c r="AP378" s="2"/>
      <c r="AS378" s="19"/>
      <c r="BM378" s="19"/>
      <c r="BN378" s="2"/>
      <c r="BR378" s="19"/>
    </row>
    <row r="379" spans="1:70" x14ac:dyDescent="0.35">
      <c r="A379" s="149"/>
      <c r="E379" s="149"/>
      <c r="F379" s="149"/>
      <c r="G379" s="149"/>
      <c r="H379" s="149"/>
      <c r="I379" s="149"/>
      <c r="J379" s="149"/>
      <c r="K379" s="149"/>
      <c r="L379" s="149"/>
      <c r="M379" s="149"/>
      <c r="N379" s="149"/>
      <c r="O379" s="149"/>
      <c r="P379" s="149"/>
      <c r="Q379" s="149"/>
      <c r="R379" s="149"/>
      <c r="S379" s="149"/>
      <c r="T379" s="149"/>
      <c r="U379" s="149"/>
      <c r="V379" s="149"/>
      <c r="W379" s="149"/>
      <c r="X379" s="149"/>
      <c r="Y379" s="149"/>
      <c r="Z379" s="149"/>
      <c r="AA379" s="149"/>
      <c r="AB379" s="149"/>
      <c r="AC379" s="149"/>
      <c r="AD379" s="149"/>
      <c r="AE379" s="149"/>
      <c r="AF379" s="149"/>
      <c r="AG379" s="149"/>
      <c r="AH379" s="149"/>
      <c r="AI379" s="149"/>
      <c r="AJ379" s="149"/>
      <c r="AK379" s="149"/>
      <c r="AL379" s="149"/>
      <c r="AM379" s="149"/>
      <c r="AN379" s="149"/>
      <c r="AP379" s="2"/>
      <c r="AS379" s="19"/>
      <c r="BM379" s="19"/>
      <c r="BN379" s="2"/>
      <c r="BR379" s="19"/>
    </row>
    <row r="380" spans="1:70" x14ac:dyDescent="0.35">
      <c r="A380" s="149"/>
      <c r="E380" s="149"/>
      <c r="F380" s="149"/>
      <c r="G380" s="149"/>
      <c r="H380" s="149"/>
      <c r="I380" s="149"/>
      <c r="J380" s="149"/>
      <c r="K380" s="149"/>
      <c r="L380" s="149"/>
      <c r="M380" s="149"/>
      <c r="N380" s="149"/>
      <c r="O380" s="149"/>
      <c r="P380" s="149"/>
      <c r="Q380" s="149"/>
      <c r="R380" s="149"/>
      <c r="S380" s="149"/>
      <c r="T380" s="149"/>
      <c r="U380" s="149"/>
      <c r="V380" s="149"/>
      <c r="W380" s="149"/>
      <c r="X380" s="149"/>
      <c r="Y380" s="149"/>
      <c r="Z380" s="149"/>
      <c r="AA380" s="149"/>
      <c r="AB380" s="149"/>
      <c r="AC380" s="149"/>
      <c r="AD380" s="149"/>
      <c r="AE380" s="149"/>
      <c r="AF380" s="149"/>
      <c r="AG380" s="149"/>
      <c r="AH380" s="149"/>
      <c r="AI380" s="149"/>
      <c r="AJ380" s="149"/>
      <c r="AK380" s="149"/>
      <c r="AL380" s="149"/>
      <c r="AM380" s="149"/>
      <c r="AN380" s="149"/>
      <c r="AP380" s="2"/>
      <c r="AS380" s="19"/>
      <c r="BM380" s="19"/>
      <c r="BN380" s="2"/>
      <c r="BR380" s="19"/>
    </row>
    <row r="381" spans="1:70" x14ac:dyDescent="0.35">
      <c r="A381" s="149"/>
      <c r="E381" s="149"/>
      <c r="F381" s="149"/>
      <c r="G381" s="149"/>
      <c r="H381" s="149"/>
      <c r="I381" s="149"/>
      <c r="J381" s="149"/>
      <c r="K381" s="149"/>
      <c r="L381" s="149"/>
      <c r="M381" s="149"/>
      <c r="N381" s="149"/>
      <c r="O381" s="149"/>
      <c r="P381" s="149"/>
      <c r="Q381" s="149"/>
      <c r="R381" s="149"/>
      <c r="S381" s="149"/>
      <c r="T381" s="149"/>
      <c r="U381" s="149"/>
      <c r="V381" s="149"/>
      <c r="W381" s="149"/>
      <c r="X381" s="149"/>
      <c r="Y381" s="149"/>
      <c r="Z381" s="149"/>
      <c r="AA381" s="149"/>
      <c r="AB381" s="149"/>
      <c r="AC381" s="149"/>
      <c r="AD381" s="149"/>
      <c r="AE381" s="149"/>
      <c r="AF381" s="149"/>
      <c r="AG381" s="149"/>
      <c r="AH381" s="149"/>
      <c r="AI381" s="149"/>
      <c r="AJ381" s="149"/>
      <c r="AK381" s="149"/>
      <c r="AL381" s="149"/>
      <c r="AM381" s="149"/>
      <c r="AN381" s="149"/>
      <c r="AP381" s="2"/>
      <c r="AS381" s="19"/>
      <c r="BM381" s="19"/>
      <c r="BN381" s="2"/>
      <c r="BR381" s="19"/>
    </row>
    <row r="382" spans="1:70" x14ac:dyDescent="0.35">
      <c r="A382" s="149"/>
      <c r="E382" s="149"/>
      <c r="F382" s="149"/>
      <c r="G382" s="149"/>
      <c r="H382" s="149"/>
      <c r="I382" s="149"/>
      <c r="J382" s="149"/>
      <c r="K382" s="149"/>
      <c r="L382" s="149"/>
      <c r="M382" s="149"/>
      <c r="N382" s="149"/>
      <c r="O382" s="149"/>
      <c r="P382" s="149"/>
      <c r="Q382" s="149"/>
      <c r="R382" s="149"/>
      <c r="S382" s="149"/>
      <c r="T382" s="149"/>
      <c r="U382" s="149"/>
      <c r="V382" s="149"/>
      <c r="W382" s="149"/>
      <c r="X382" s="149"/>
      <c r="Y382" s="149"/>
      <c r="Z382" s="149"/>
      <c r="AA382" s="149"/>
      <c r="AB382" s="149"/>
      <c r="AC382" s="149"/>
      <c r="AD382" s="149"/>
      <c r="AE382" s="149"/>
      <c r="AF382" s="149"/>
      <c r="AG382" s="149"/>
      <c r="AH382" s="149"/>
      <c r="AI382" s="149"/>
      <c r="AJ382" s="149"/>
      <c r="AK382" s="149"/>
      <c r="AL382" s="149"/>
      <c r="AM382" s="149"/>
      <c r="AN382" s="149"/>
      <c r="AP382" s="2"/>
      <c r="AS382" s="19"/>
      <c r="BM382" s="19"/>
      <c r="BN382" s="2"/>
      <c r="BR382" s="19"/>
    </row>
    <row r="383" spans="1:70" x14ac:dyDescent="0.35">
      <c r="A383" s="149"/>
      <c r="E383" s="149"/>
      <c r="F383" s="149"/>
      <c r="G383" s="149"/>
      <c r="H383" s="149"/>
      <c r="I383" s="149"/>
      <c r="J383" s="149"/>
      <c r="K383" s="149"/>
      <c r="L383" s="149"/>
      <c r="M383" s="149"/>
      <c r="N383" s="149"/>
      <c r="O383" s="149"/>
      <c r="P383" s="149"/>
      <c r="Q383" s="149"/>
      <c r="R383" s="149"/>
      <c r="S383" s="149"/>
      <c r="T383" s="149"/>
      <c r="U383" s="149"/>
      <c r="V383" s="149"/>
      <c r="W383" s="149"/>
      <c r="X383" s="149"/>
      <c r="Y383" s="149"/>
      <c r="Z383" s="149"/>
      <c r="AA383" s="149"/>
      <c r="AB383" s="149"/>
      <c r="AC383" s="149"/>
      <c r="AD383" s="149"/>
      <c r="AE383" s="149"/>
      <c r="AF383" s="149"/>
      <c r="AG383" s="149"/>
      <c r="AH383" s="149"/>
      <c r="AI383" s="149"/>
      <c r="AJ383" s="149"/>
      <c r="AK383" s="149"/>
      <c r="AL383" s="149"/>
      <c r="AM383" s="149"/>
      <c r="AN383" s="149"/>
      <c r="AP383" s="2"/>
      <c r="AS383" s="19"/>
      <c r="BM383" s="19"/>
      <c r="BN383" s="2"/>
      <c r="BR383" s="19"/>
    </row>
    <row r="384" spans="1:70" x14ac:dyDescent="0.35">
      <c r="A384" s="149"/>
      <c r="E384" s="149"/>
      <c r="F384" s="149"/>
      <c r="G384" s="149"/>
      <c r="H384" s="149"/>
      <c r="I384" s="149"/>
      <c r="J384" s="149"/>
      <c r="K384" s="149"/>
      <c r="L384" s="149"/>
      <c r="M384" s="149"/>
      <c r="N384" s="149"/>
      <c r="O384" s="149"/>
      <c r="P384" s="149"/>
      <c r="Q384" s="149"/>
      <c r="R384" s="149"/>
      <c r="S384" s="149"/>
      <c r="T384" s="149"/>
      <c r="U384" s="149"/>
      <c r="V384" s="149"/>
      <c r="W384" s="149"/>
      <c r="X384" s="149"/>
      <c r="Y384" s="149"/>
      <c r="Z384" s="149"/>
      <c r="AA384" s="149"/>
      <c r="AB384" s="149"/>
      <c r="AC384" s="149"/>
      <c r="AD384" s="149"/>
      <c r="AE384" s="149"/>
      <c r="AF384" s="149"/>
      <c r="AG384" s="149"/>
      <c r="AH384" s="149"/>
      <c r="AI384" s="149"/>
      <c r="AJ384" s="149"/>
      <c r="AK384" s="149"/>
      <c r="AL384" s="149"/>
      <c r="AM384" s="149"/>
      <c r="AN384" s="149"/>
      <c r="AP384" s="2"/>
      <c r="AS384" s="19"/>
      <c r="BM384" s="19"/>
      <c r="BN384" s="2"/>
      <c r="BR384" s="19"/>
    </row>
    <row r="385" spans="1:70" x14ac:dyDescent="0.35">
      <c r="A385" s="149"/>
      <c r="E385" s="149"/>
      <c r="F385" s="149"/>
      <c r="G385" s="149"/>
      <c r="H385" s="149"/>
      <c r="I385" s="149"/>
      <c r="J385" s="149"/>
      <c r="K385" s="149"/>
      <c r="L385" s="149"/>
      <c r="M385" s="149"/>
      <c r="N385" s="149"/>
      <c r="O385" s="149"/>
      <c r="P385" s="149"/>
      <c r="Q385" s="149"/>
      <c r="R385" s="149"/>
      <c r="S385" s="149"/>
      <c r="T385" s="149"/>
      <c r="U385" s="149"/>
      <c r="V385" s="149"/>
      <c r="W385" s="149"/>
      <c r="X385" s="149"/>
      <c r="Y385" s="149"/>
      <c r="Z385" s="149"/>
      <c r="AA385" s="149"/>
      <c r="AB385" s="149"/>
      <c r="AC385" s="149"/>
      <c r="AD385" s="149"/>
      <c r="AE385" s="149"/>
      <c r="AF385" s="149"/>
      <c r="AG385" s="149"/>
      <c r="AH385" s="149"/>
      <c r="AI385" s="149"/>
      <c r="AJ385" s="149"/>
      <c r="AK385" s="149"/>
      <c r="AL385" s="149"/>
      <c r="AM385" s="149"/>
      <c r="AN385" s="149"/>
      <c r="AP385" s="2"/>
      <c r="AS385" s="19"/>
      <c r="BM385" s="19"/>
      <c r="BN385" s="2"/>
      <c r="BR385" s="19"/>
    </row>
    <row r="386" spans="1:70" x14ac:dyDescent="0.35">
      <c r="A386" s="149"/>
      <c r="E386" s="149"/>
      <c r="F386" s="149"/>
      <c r="G386" s="149"/>
      <c r="H386" s="149"/>
      <c r="I386" s="149"/>
      <c r="J386" s="149"/>
      <c r="K386" s="149"/>
      <c r="L386" s="149"/>
      <c r="M386" s="149"/>
      <c r="N386" s="149"/>
      <c r="O386" s="149"/>
      <c r="P386" s="149"/>
      <c r="Q386" s="149"/>
      <c r="R386" s="149"/>
      <c r="S386" s="149"/>
      <c r="T386" s="149"/>
      <c r="U386" s="149"/>
      <c r="V386" s="149"/>
      <c r="W386" s="149"/>
      <c r="X386" s="149"/>
      <c r="Y386" s="149"/>
      <c r="Z386" s="149"/>
      <c r="AA386" s="149"/>
      <c r="AB386" s="149"/>
      <c r="AC386" s="149"/>
      <c r="AD386" s="149"/>
      <c r="AE386" s="149"/>
      <c r="AF386" s="149"/>
      <c r="AG386" s="149"/>
      <c r="AH386" s="149"/>
      <c r="AI386" s="149"/>
      <c r="AJ386" s="149"/>
      <c r="AK386" s="149"/>
      <c r="AL386" s="149"/>
      <c r="AM386" s="149"/>
      <c r="AN386" s="149"/>
      <c r="AP386" s="2"/>
      <c r="AS386" s="19"/>
      <c r="BM386" s="19"/>
      <c r="BN386" s="2"/>
      <c r="BR386" s="19"/>
    </row>
    <row r="387" spans="1:70" x14ac:dyDescent="0.35">
      <c r="A387" s="149"/>
      <c r="E387" s="149"/>
      <c r="F387" s="149"/>
      <c r="G387" s="149"/>
      <c r="H387" s="149"/>
      <c r="I387" s="149"/>
      <c r="J387" s="149"/>
      <c r="K387" s="149"/>
      <c r="L387" s="149"/>
      <c r="M387" s="149"/>
      <c r="N387" s="149"/>
      <c r="O387" s="149"/>
      <c r="P387" s="149"/>
      <c r="Q387" s="149"/>
      <c r="R387" s="149"/>
      <c r="S387" s="149"/>
      <c r="T387" s="149"/>
      <c r="U387" s="149"/>
      <c r="V387" s="149"/>
      <c r="W387" s="149"/>
      <c r="X387" s="149"/>
      <c r="Y387" s="149"/>
      <c r="Z387" s="149"/>
      <c r="AA387" s="149"/>
      <c r="AB387" s="149"/>
      <c r="AC387" s="149"/>
      <c r="AD387" s="149"/>
      <c r="AE387" s="149"/>
      <c r="AF387" s="149"/>
      <c r="AG387" s="149"/>
      <c r="AH387" s="149"/>
      <c r="AI387" s="149"/>
      <c r="AJ387" s="149"/>
      <c r="AK387" s="149"/>
      <c r="AL387" s="149"/>
      <c r="AM387" s="149"/>
      <c r="AN387" s="149"/>
      <c r="AP387" s="2"/>
      <c r="AS387" s="19"/>
      <c r="BM387" s="19"/>
      <c r="BN387" s="2"/>
      <c r="BR387" s="19"/>
    </row>
    <row r="388" spans="1:70" x14ac:dyDescent="0.35">
      <c r="A388" s="149"/>
      <c r="E388" s="149"/>
      <c r="F388" s="149"/>
      <c r="G388" s="149"/>
      <c r="H388" s="149"/>
      <c r="I388" s="149"/>
      <c r="J388" s="149"/>
      <c r="K388" s="149"/>
      <c r="L388" s="149"/>
      <c r="M388" s="149"/>
      <c r="N388" s="149"/>
      <c r="O388" s="149"/>
      <c r="P388" s="149"/>
      <c r="Q388" s="149"/>
      <c r="R388" s="149"/>
      <c r="S388" s="149"/>
      <c r="T388" s="149"/>
      <c r="U388" s="149"/>
      <c r="V388" s="149"/>
      <c r="W388" s="149"/>
      <c r="X388" s="149"/>
      <c r="Y388" s="149"/>
      <c r="Z388" s="149"/>
      <c r="AA388" s="149"/>
      <c r="AB388" s="149"/>
      <c r="AC388" s="149"/>
      <c r="AD388" s="149"/>
      <c r="AE388" s="149"/>
      <c r="AF388" s="149"/>
      <c r="AG388" s="149"/>
      <c r="AH388" s="149"/>
      <c r="AI388" s="149"/>
      <c r="AJ388" s="149"/>
      <c r="AK388" s="149"/>
      <c r="AL388" s="149"/>
      <c r="AM388" s="149"/>
      <c r="AN388" s="149"/>
      <c r="AP388" s="2"/>
      <c r="AS388" s="19"/>
      <c r="BM388" s="19"/>
      <c r="BN388" s="2"/>
      <c r="BR388" s="19"/>
    </row>
    <row r="389" spans="1:70" x14ac:dyDescent="0.35">
      <c r="A389" s="149"/>
      <c r="E389" s="149"/>
      <c r="F389" s="149"/>
      <c r="G389" s="149"/>
      <c r="H389" s="149"/>
      <c r="I389" s="149"/>
      <c r="J389" s="149"/>
      <c r="K389" s="149"/>
      <c r="L389" s="149"/>
      <c r="M389" s="149"/>
      <c r="N389" s="149"/>
      <c r="O389" s="149"/>
      <c r="P389" s="149"/>
      <c r="Q389" s="149"/>
      <c r="R389" s="149"/>
      <c r="S389" s="149"/>
      <c r="T389" s="149"/>
      <c r="U389" s="149"/>
      <c r="V389" s="149"/>
      <c r="W389" s="149"/>
      <c r="X389" s="149"/>
      <c r="Y389" s="149"/>
      <c r="Z389" s="149"/>
      <c r="AA389" s="149"/>
      <c r="AB389" s="149"/>
      <c r="AC389" s="149"/>
      <c r="AD389" s="149"/>
      <c r="AE389" s="149"/>
      <c r="AF389" s="149"/>
      <c r="AG389" s="149"/>
      <c r="AH389" s="149"/>
      <c r="AI389" s="149"/>
      <c r="AJ389" s="149"/>
      <c r="AK389" s="149"/>
      <c r="AL389" s="149"/>
      <c r="AM389" s="149"/>
      <c r="AN389" s="149"/>
      <c r="AP389" s="2"/>
      <c r="AS389" s="19"/>
      <c r="BM389" s="19"/>
      <c r="BN389" s="2"/>
      <c r="BR389" s="19"/>
    </row>
    <row r="390" spans="1:70" x14ac:dyDescent="0.35">
      <c r="A390" s="149"/>
      <c r="E390" s="149"/>
      <c r="F390" s="149"/>
      <c r="G390" s="149"/>
      <c r="H390" s="149"/>
      <c r="I390" s="149"/>
      <c r="J390" s="149"/>
      <c r="K390" s="149"/>
      <c r="L390" s="149"/>
      <c r="M390" s="149"/>
      <c r="N390" s="149"/>
      <c r="O390" s="149"/>
      <c r="P390" s="149"/>
      <c r="Q390" s="149"/>
      <c r="R390" s="149"/>
      <c r="S390" s="149"/>
      <c r="T390" s="149"/>
      <c r="U390" s="149"/>
      <c r="V390" s="149"/>
      <c r="W390" s="149"/>
      <c r="X390" s="149"/>
      <c r="Y390" s="149"/>
      <c r="Z390" s="149"/>
      <c r="AA390" s="149"/>
      <c r="AB390" s="149"/>
      <c r="AC390" s="149"/>
      <c r="AD390" s="149"/>
      <c r="AE390" s="149"/>
      <c r="AF390" s="149"/>
      <c r="AG390" s="149"/>
      <c r="AH390" s="149"/>
      <c r="AI390" s="149"/>
      <c r="AJ390" s="149"/>
      <c r="AK390" s="149"/>
      <c r="AL390" s="149"/>
      <c r="AM390" s="149"/>
      <c r="AN390" s="149"/>
      <c r="AP390" s="2"/>
      <c r="AS390" s="19"/>
      <c r="BM390" s="19"/>
      <c r="BN390" s="2"/>
      <c r="BR390" s="19"/>
    </row>
    <row r="391" spans="1:70" x14ac:dyDescent="0.35">
      <c r="A391" s="149"/>
      <c r="E391" s="149"/>
      <c r="F391" s="149"/>
      <c r="G391" s="149"/>
      <c r="H391" s="149"/>
      <c r="I391" s="149"/>
      <c r="J391" s="149"/>
      <c r="K391" s="149"/>
      <c r="L391" s="149"/>
      <c r="M391" s="149"/>
      <c r="N391" s="149"/>
      <c r="O391" s="149"/>
      <c r="P391" s="149"/>
      <c r="Q391" s="149"/>
      <c r="R391" s="149"/>
      <c r="S391" s="149"/>
      <c r="T391" s="149"/>
      <c r="U391" s="149"/>
      <c r="V391" s="149"/>
      <c r="W391" s="149"/>
      <c r="X391" s="149"/>
      <c r="Y391" s="149"/>
      <c r="Z391" s="149"/>
      <c r="AA391" s="149"/>
      <c r="AB391" s="149"/>
      <c r="AC391" s="149"/>
      <c r="AD391" s="149"/>
      <c r="AE391" s="149"/>
      <c r="AF391" s="149"/>
      <c r="AG391" s="149"/>
      <c r="AH391" s="149"/>
      <c r="AI391" s="149"/>
      <c r="AJ391" s="149"/>
      <c r="AK391" s="149"/>
      <c r="AL391" s="149"/>
      <c r="AM391" s="149"/>
      <c r="AN391" s="149"/>
      <c r="AP391" s="2"/>
      <c r="AS391" s="19"/>
      <c r="BM391" s="19"/>
      <c r="BN391" s="2"/>
      <c r="BR391" s="19"/>
    </row>
    <row r="392" spans="1:70" x14ac:dyDescent="0.35">
      <c r="A392" s="149"/>
      <c r="E392" s="149"/>
      <c r="F392" s="149"/>
      <c r="G392" s="149"/>
      <c r="H392" s="149"/>
      <c r="I392" s="149"/>
      <c r="J392" s="149"/>
      <c r="K392" s="149"/>
      <c r="L392" s="149"/>
      <c r="M392" s="149"/>
      <c r="N392" s="149"/>
      <c r="O392" s="149"/>
      <c r="P392" s="149"/>
      <c r="Q392" s="149"/>
      <c r="R392" s="149"/>
      <c r="S392" s="149"/>
      <c r="T392" s="149"/>
      <c r="U392" s="149"/>
      <c r="V392" s="149"/>
      <c r="W392" s="149"/>
      <c r="X392" s="149"/>
      <c r="Y392" s="149"/>
      <c r="Z392" s="149"/>
      <c r="AA392" s="149"/>
      <c r="AB392" s="149"/>
      <c r="AC392" s="149"/>
      <c r="AD392" s="149"/>
      <c r="AE392" s="149"/>
      <c r="AF392" s="149"/>
      <c r="AG392" s="149"/>
      <c r="AH392" s="149"/>
      <c r="AI392" s="149"/>
      <c r="AJ392" s="149"/>
      <c r="AK392" s="149"/>
      <c r="AL392" s="149"/>
      <c r="AM392" s="149"/>
      <c r="AN392" s="149"/>
      <c r="AP392" s="2"/>
      <c r="AS392" s="19"/>
      <c r="BM392" s="19"/>
      <c r="BN392" s="2"/>
      <c r="BR392" s="19"/>
    </row>
    <row r="393" spans="1:70" x14ac:dyDescent="0.35">
      <c r="A393" s="149"/>
      <c r="E393" s="149"/>
      <c r="F393" s="149"/>
      <c r="G393" s="149"/>
      <c r="H393" s="149"/>
      <c r="I393" s="149"/>
      <c r="J393" s="149"/>
      <c r="K393" s="149"/>
      <c r="L393" s="149"/>
      <c r="M393" s="149"/>
      <c r="N393" s="149"/>
      <c r="O393" s="149"/>
      <c r="P393" s="149"/>
      <c r="Q393" s="149"/>
      <c r="R393" s="149"/>
      <c r="S393" s="149"/>
      <c r="T393" s="149"/>
      <c r="U393" s="149"/>
      <c r="V393" s="149"/>
      <c r="W393" s="149"/>
      <c r="X393" s="149"/>
      <c r="Y393" s="149"/>
      <c r="Z393" s="149"/>
      <c r="AA393" s="149"/>
      <c r="AB393" s="149"/>
      <c r="AC393" s="149"/>
      <c r="AD393" s="149"/>
      <c r="AE393" s="149"/>
      <c r="AF393" s="149"/>
      <c r="AG393" s="149"/>
      <c r="AH393" s="149"/>
      <c r="AI393" s="149"/>
      <c r="AJ393" s="149"/>
      <c r="AK393" s="149"/>
      <c r="AL393" s="149"/>
      <c r="AM393" s="149"/>
      <c r="AN393" s="149"/>
      <c r="AP393" s="2"/>
      <c r="AS393" s="19"/>
      <c r="BM393" s="19"/>
      <c r="BN393" s="2"/>
      <c r="BR393" s="19"/>
    </row>
    <row r="394" spans="1:70" x14ac:dyDescent="0.35">
      <c r="A394" s="149"/>
      <c r="E394" s="149"/>
      <c r="F394" s="149"/>
      <c r="G394" s="149"/>
      <c r="H394" s="149"/>
      <c r="I394" s="149"/>
      <c r="J394" s="149"/>
      <c r="K394" s="149"/>
      <c r="L394" s="149"/>
      <c r="M394" s="149"/>
      <c r="N394" s="149"/>
      <c r="O394" s="149"/>
      <c r="P394" s="149"/>
      <c r="Q394" s="149"/>
      <c r="R394" s="149"/>
      <c r="S394" s="149"/>
      <c r="T394" s="149"/>
      <c r="U394" s="149"/>
      <c r="V394" s="149"/>
      <c r="W394" s="149"/>
      <c r="X394" s="149"/>
      <c r="Y394" s="149"/>
      <c r="Z394" s="149"/>
      <c r="AA394" s="149"/>
      <c r="AB394" s="149"/>
      <c r="AC394" s="149"/>
      <c r="AD394" s="149"/>
      <c r="AE394" s="149"/>
      <c r="AF394" s="149"/>
      <c r="AG394" s="149"/>
      <c r="AH394" s="149"/>
      <c r="AI394" s="149"/>
      <c r="AJ394" s="149"/>
      <c r="AK394" s="149"/>
      <c r="AL394" s="149"/>
      <c r="AM394" s="149"/>
      <c r="AN394" s="149"/>
      <c r="AP394" s="2"/>
      <c r="AS394" s="19"/>
      <c r="BM394" s="19"/>
      <c r="BN394" s="2"/>
      <c r="BR394" s="19"/>
    </row>
    <row r="395" spans="1:70" x14ac:dyDescent="0.35">
      <c r="A395" s="149"/>
      <c r="E395" s="149"/>
      <c r="F395" s="149"/>
      <c r="G395" s="149"/>
      <c r="H395" s="149"/>
      <c r="I395" s="149"/>
      <c r="J395" s="149"/>
      <c r="K395" s="149"/>
      <c r="L395" s="149"/>
      <c r="M395" s="149"/>
      <c r="N395" s="149"/>
      <c r="O395" s="149"/>
      <c r="P395" s="149"/>
      <c r="Q395" s="149"/>
      <c r="R395" s="149"/>
      <c r="S395" s="149"/>
      <c r="T395" s="149"/>
      <c r="U395" s="149"/>
      <c r="V395" s="149"/>
      <c r="W395" s="149"/>
      <c r="X395" s="149"/>
      <c r="Y395" s="149"/>
      <c r="Z395" s="149"/>
      <c r="AA395" s="149"/>
      <c r="AB395" s="149"/>
      <c r="AC395" s="149"/>
      <c r="AD395" s="149"/>
      <c r="AE395" s="149"/>
      <c r="AF395" s="149"/>
      <c r="AG395" s="149"/>
      <c r="AH395" s="149"/>
      <c r="AI395" s="149"/>
      <c r="AJ395" s="149"/>
      <c r="AK395" s="149"/>
      <c r="AL395" s="149"/>
      <c r="AM395" s="149"/>
      <c r="AN395" s="149"/>
      <c r="AP395" s="2"/>
      <c r="AS395" s="19"/>
      <c r="BM395" s="19"/>
      <c r="BN395" s="2"/>
      <c r="BR395" s="19"/>
    </row>
    <row r="396" spans="1:70" x14ac:dyDescent="0.35">
      <c r="A396" s="149"/>
      <c r="E396" s="149"/>
      <c r="F396" s="149"/>
      <c r="G396" s="149"/>
      <c r="H396" s="149"/>
      <c r="I396" s="149"/>
      <c r="J396" s="149"/>
      <c r="K396" s="149"/>
      <c r="L396" s="149"/>
      <c r="M396" s="149"/>
      <c r="N396" s="149"/>
      <c r="O396" s="149"/>
      <c r="P396" s="149"/>
      <c r="Q396" s="149"/>
      <c r="R396" s="149"/>
      <c r="S396" s="149"/>
      <c r="T396" s="149"/>
      <c r="U396" s="149"/>
      <c r="V396" s="149"/>
      <c r="W396" s="149"/>
      <c r="X396" s="149"/>
      <c r="Y396" s="149"/>
      <c r="Z396" s="149"/>
      <c r="AA396" s="149"/>
      <c r="AB396" s="149"/>
      <c r="AC396" s="149"/>
      <c r="AD396" s="149"/>
      <c r="AE396" s="149"/>
      <c r="AF396" s="149"/>
      <c r="AG396" s="149"/>
      <c r="AH396" s="149"/>
      <c r="AI396" s="149"/>
      <c r="AJ396" s="149"/>
      <c r="AK396" s="149"/>
      <c r="AL396" s="149"/>
      <c r="AM396" s="149"/>
      <c r="AN396" s="149"/>
      <c r="AP396" s="2"/>
      <c r="AS396" s="19"/>
      <c r="BM396" s="19"/>
      <c r="BN396" s="2"/>
      <c r="BR396" s="19"/>
    </row>
    <row r="397" spans="1:70" x14ac:dyDescent="0.35">
      <c r="A397" s="149"/>
      <c r="E397" s="149"/>
      <c r="F397" s="149"/>
      <c r="G397" s="149"/>
      <c r="H397" s="149"/>
      <c r="I397" s="149"/>
      <c r="J397" s="149"/>
      <c r="K397" s="149"/>
      <c r="L397" s="149"/>
      <c r="M397" s="149"/>
      <c r="N397" s="149"/>
      <c r="O397" s="149"/>
      <c r="P397" s="149"/>
      <c r="Q397" s="149"/>
      <c r="R397" s="149"/>
      <c r="S397" s="149"/>
      <c r="T397" s="149"/>
      <c r="U397" s="149"/>
      <c r="V397" s="149"/>
      <c r="W397" s="149"/>
      <c r="X397" s="149"/>
      <c r="Y397" s="149"/>
      <c r="Z397" s="149"/>
      <c r="AA397" s="149"/>
      <c r="AB397" s="149"/>
      <c r="AC397" s="149"/>
      <c r="AD397" s="149"/>
      <c r="AE397" s="149"/>
      <c r="AF397" s="149"/>
      <c r="AG397" s="149"/>
      <c r="AH397" s="149"/>
      <c r="AI397" s="149"/>
      <c r="AJ397" s="149"/>
      <c r="AK397" s="149"/>
      <c r="AL397" s="149"/>
      <c r="AM397" s="149"/>
      <c r="AN397" s="149"/>
      <c r="AP397" s="2"/>
      <c r="AS397" s="19"/>
      <c r="BM397" s="19"/>
      <c r="BN397" s="2"/>
      <c r="BR397" s="19"/>
    </row>
    <row r="398" spans="1:70" x14ac:dyDescent="0.35">
      <c r="A398" s="149"/>
      <c r="E398" s="149"/>
      <c r="F398" s="149"/>
      <c r="G398" s="149"/>
      <c r="H398" s="149"/>
      <c r="I398" s="149"/>
      <c r="J398" s="149"/>
      <c r="K398" s="149"/>
      <c r="L398" s="149"/>
      <c r="M398" s="149"/>
      <c r="N398" s="149"/>
      <c r="O398" s="149"/>
      <c r="P398" s="149"/>
      <c r="Q398" s="149"/>
      <c r="R398" s="149"/>
      <c r="S398" s="149"/>
      <c r="T398" s="149"/>
      <c r="U398" s="149"/>
      <c r="V398" s="149"/>
      <c r="W398" s="149"/>
      <c r="X398" s="149"/>
      <c r="Y398" s="149"/>
      <c r="Z398" s="149"/>
      <c r="AA398" s="149"/>
      <c r="AB398" s="149"/>
      <c r="AC398" s="149"/>
      <c r="AD398" s="149"/>
      <c r="AE398" s="149"/>
      <c r="AF398" s="149"/>
      <c r="AG398" s="149"/>
      <c r="AH398" s="149"/>
      <c r="AI398" s="149"/>
      <c r="AJ398" s="149"/>
      <c r="AK398" s="149"/>
      <c r="AL398" s="149"/>
      <c r="AM398" s="149"/>
      <c r="AN398" s="149"/>
      <c r="AP398" s="2"/>
      <c r="AS398" s="19"/>
      <c r="BM398" s="19"/>
      <c r="BN398" s="2"/>
      <c r="BR398" s="19"/>
    </row>
    <row r="399" spans="1:70" x14ac:dyDescent="0.35">
      <c r="A399" s="149"/>
      <c r="E399" s="149"/>
      <c r="F399" s="149"/>
      <c r="G399" s="149"/>
      <c r="H399" s="149"/>
      <c r="I399" s="149"/>
      <c r="J399" s="149"/>
      <c r="K399" s="149"/>
      <c r="L399" s="149"/>
      <c r="M399" s="149"/>
      <c r="N399" s="149"/>
      <c r="O399" s="149"/>
      <c r="P399" s="149"/>
      <c r="Q399" s="149"/>
      <c r="R399" s="149"/>
      <c r="S399" s="149"/>
      <c r="T399" s="149"/>
      <c r="U399" s="149"/>
      <c r="V399" s="149"/>
      <c r="W399" s="149"/>
      <c r="X399" s="149"/>
      <c r="Y399" s="149"/>
      <c r="Z399" s="149"/>
      <c r="AA399" s="149"/>
      <c r="AB399" s="149"/>
      <c r="AC399" s="149"/>
      <c r="AD399" s="149"/>
      <c r="AE399" s="149"/>
      <c r="AF399" s="149"/>
      <c r="AG399" s="149"/>
      <c r="AH399" s="149"/>
      <c r="AI399" s="149"/>
      <c r="AJ399" s="149"/>
      <c r="AK399" s="149"/>
      <c r="AL399" s="149"/>
      <c r="AM399" s="149"/>
      <c r="AN399" s="149"/>
      <c r="AP399" s="2"/>
      <c r="AS399" s="19"/>
      <c r="BM399" s="19"/>
      <c r="BN399" s="2"/>
      <c r="BR399" s="19"/>
    </row>
    <row r="400" spans="1:70" x14ac:dyDescent="0.35">
      <c r="A400" s="149"/>
      <c r="E400" s="149"/>
      <c r="F400" s="149"/>
      <c r="G400" s="149"/>
      <c r="H400" s="149"/>
      <c r="I400" s="149"/>
      <c r="J400" s="149"/>
      <c r="K400" s="149"/>
      <c r="L400" s="149"/>
      <c r="M400" s="149"/>
      <c r="N400" s="149"/>
      <c r="O400" s="149"/>
      <c r="P400" s="149"/>
      <c r="Q400" s="149"/>
      <c r="R400" s="149"/>
      <c r="S400" s="149"/>
      <c r="T400" s="149"/>
      <c r="U400" s="149"/>
      <c r="V400" s="149"/>
      <c r="W400" s="149"/>
      <c r="X400" s="149"/>
      <c r="Y400" s="149"/>
      <c r="Z400" s="149"/>
      <c r="AA400" s="149"/>
      <c r="AB400" s="149"/>
      <c r="AC400" s="149"/>
      <c r="AD400" s="149"/>
      <c r="AE400" s="149"/>
      <c r="AF400" s="149"/>
      <c r="AG400" s="149"/>
      <c r="AH400" s="149"/>
      <c r="AI400" s="149"/>
      <c r="AJ400" s="149"/>
      <c r="AK400" s="149"/>
      <c r="AL400" s="149"/>
      <c r="AM400" s="149"/>
      <c r="AN400" s="149"/>
      <c r="AP400" s="2"/>
      <c r="AS400" s="19"/>
      <c r="BM400" s="19"/>
      <c r="BN400" s="2"/>
      <c r="BR400" s="19"/>
    </row>
    <row r="401" spans="1:115" x14ac:dyDescent="0.35">
      <c r="A401" s="149"/>
      <c r="E401" s="149"/>
      <c r="F401" s="149"/>
      <c r="G401" s="149"/>
      <c r="H401" s="149"/>
      <c r="I401" s="149"/>
      <c r="J401" s="149"/>
      <c r="K401" s="149"/>
      <c r="L401" s="149"/>
      <c r="M401" s="149"/>
      <c r="N401" s="149"/>
      <c r="O401" s="149"/>
      <c r="P401" s="149"/>
      <c r="Q401" s="149"/>
      <c r="R401" s="149"/>
      <c r="S401" s="149"/>
      <c r="T401" s="149"/>
      <c r="U401" s="149"/>
      <c r="V401" s="149"/>
      <c r="W401" s="149"/>
      <c r="X401" s="149"/>
      <c r="Y401" s="149"/>
      <c r="Z401" s="149"/>
      <c r="AA401" s="149"/>
      <c r="AB401" s="149"/>
      <c r="AC401" s="149"/>
      <c r="AD401" s="149"/>
      <c r="AE401" s="149"/>
      <c r="AF401" s="149"/>
      <c r="AG401" s="149"/>
      <c r="AH401" s="149"/>
      <c r="AI401" s="149"/>
      <c r="AJ401" s="149"/>
      <c r="AK401" s="149"/>
      <c r="AL401" s="149"/>
      <c r="AM401" s="149"/>
      <c r="AN401" s="149"/>
      <c r="AP401" s="2"/>
      <c r="AS401" s="19"/>
      <c r="BM401" s="19"/>
      <c r="BN401" s="2"/>
      <c r="BR401" s="19"/>
    </row>
    <row r="402" spans="1:115" x14ac:dyDescent="0.35">
      <c r="A402" s="149"/>
      <c r="E402" s="149"/>
      <c r="F402" s="149"/>
      <c r="G402" s="149"/>
      <c r="H402" s="149"/>
      <c r="I402" s="149"/>
      <c r="J402" s="149"/>
      <c r="K402" s="149"/>
      <c r="L402" s="149"/>
      <c r="M402" s="149"/>
      <c r="N402" s="149"/>
      <c r="O402" s="149"/>
      <c r="P402" s="149"/>
      <c r="Q402" s="149"/>
      <c r="R402" s="149"/>
      <c r="S402" s="149"/>
      <c r="T402" s="149"/>
      <c r="U402" s="149"/>
      <c r="V402" s="149"/>
      <c r="W402" s="149"/>
      <c r="X402" s="149"/>
      <c r="Y402" s="149"/>
      <c r="Z402" s="149"/>
      <c r="AA402" s="149"/>
      <c r="AB402" s="149"/>
      <c r="AC402" s="149"/>
      <c r="AD402" s="149"/>
      <c r="AE402" s="149"/>
      <c r="AF402" s="149"/>
      <c r="AG402" s="149"/>
      <c r="AH402" s="149"/>
      <c r="AI402" s="149"/>
      <c r="AJ402" s="149"/>
      <c r="AK402" s="149"/>
      <c r="AL402" s="149"/>
      <c r="AM402" s="149"/>
      <c r="AN402" s="149"/>
      <c r="AP402" s="2"/>
      <c r="AS402" s="19"/>
      <c r="BM402" s="19"/>
      <c r="BN402" s="2"/>
      <c r="BR402" s="19"/>
    </row>
    <row r="403" spans="1:115" x14ac:dyDescent="0.35">
      <c r="A403" s="149"/>
      <c r="E403" s="149"/>
      <c r="F403" s="149"/>
      <c r="G403" s="149"/>
      <c r="H403" s="149"/>
      <c r="I403" s="149"/>
      <c r="J403" s="149"/>
      <c r="K403" s="149"/>
      <c r="L403" s="149"/>
      <c r="M403" s="149"/>
      <c r="N403" s="149"/>
      <c r="O403" s="149"/>
      <c r="P403" s="149"/>
      <c r="Q403" s="149"/>
      <c r="R403" s="149"/>
      <c r="S403" s="149"/>
      <c r="T403" s="149"/>
      <c r="U403" s="149"/>
      <c r="V403" s="149"/>
      <c r="W403" s="149"/>
      <c r="X403" s="149"/>
      <c r="Y403" s="149"/>
      <c r="Z403" s="149"/>
      <c r="AA403" s="149"/>
      <c r="AB403" s="149"/>
      <c r="AC403" s="149"/>
      <c r="AD403" s="149"/>
      <c r="AE403" s="149"/>
      <c r="AF403" s="149"/>
      <c r="AG403" s="149"/>
      <c r="AH403" s="149"/>
      <c r="AI403" s="149"/>
      <c r="AJ403" s="149"/>
      <c r="AK403" s="149"/>
      <c r="AL403" s="149"/>
      <c r="AM403" s="149"/>
      <c r="AN403" s="149"/>
      <c r="AP403" s="2"/>
      <c r="AS403" s="19"/>
      <c r="BM403" s="19"/>
      <c r="BN403" s="2"/>
      <c r="BR403" s="19"/>
    </row>
    <row r="404" spans="1:115" x14ac:dyDescent="0.35">
      <c r="A404" s="149"/>
      <c r="E404" s="149"/>
      <c r="F404" s="149"/>
      <c r="G404" s="149"/>
      <c r="H404" s="149"/>
      <c r="I404" s="149"/>
      <c r="J404" s="149"/>
      <c r="K404" s="149"/>
      <c r="L404" s="149"/>
      <c r="M404" s="149"/>
      <c r="N404" s="149"/>
      <c r="O404" s="149"/>
      <c r="P404" s="149"/>
      <c r="Q404" s="149"/>
      <c r="R404" s="149"/>
      <c r="S404" s="149"/>
      <c r="T404" s="149"/>
      <c r="U404" s="149"/>
      <c r="V404" s="149"/>
      <c r="W404" s="149"/>
      <c r="X404" s="149"/>
      <c r="Y404" s="149"/>
      <c r="Z404" s="149"/>
      <c r="AA404" s="149"/>
      <c r="AB404" s="149"/>
      <c r="AC404" s="149"/>
      <c r="AD404" s="149"/>
      <c r="AE404" s="149"/>
      <c r="AF404" s="149"/>
      <c r="AG404" s="149"/>
      <c r="AH404" s="149"/>
      <c r="AI404" s="149"/>
      <c r="AJ404" s="149"/>
      <c r="AK404" s="149"/>
      <c r="AL404" s="149"/>
      <c r="AM404" s="149"/>
      <c r="AN404" s="149"/>
      <c r="AP404" s="2"/>
      <c r="AS404" s="19"/>
      <c r="BM404" s="19"/>
      <c r="BN404" s="2"/>
      <c r="BR404" s="19"/>
    </row>
    <row r="405" spans="1:115" x14ac:dyDescent="0.35">
      <c r="A405" s="149"/>
      <c r="E405" s="149"/>
      <c r="F405" s="149"/>
      <c r="G405" s="149"/>
      <c r="H405" s="149"/>
      <c r="I405" s="149"/>
      <c r="J405" s="149"/>
      <c r="K405" s="149"/>
      <c r="L405" s="149"/>
      <c r="M405" s="149"/>
      <c r="N405" s="149"/>
      <c r="O405" s="149"/>
      <c r="P405" s="149"/>
      <c r="Q405" s="149"/>
      <c r="R405" s="149"/>
      <c r="S405" s="149"/>
      <c r="T405" s="149"/>
      <c r="U405" s="149"/>
      <c r="V405" s="149"/>
      <c r="W405" s="149"/>
      <c r="X405" s="149"/>
      <c r="Y405" s="149"/>
      <c r="Z405" s="149"/>
      <c r="AA405" s="149"/>
      <c r="AB405" s="149"/>
      <c r="AC405" s="149"/>
      <c r="AD405" s="149"/>
      <c r="AE405" s="149"/>
      <c r="AF405" s="149"/>
      <c r="AG405" s="149"/>
      <c r="AH405" s="149"/>
      <c r="AI405" s="149"/>
      <c r="AJ405" s="149"/>
      <c r="AK405" s="149"/>
      <c r="AL405" s="149"/>
      <c r="AM405" s="149"/>
      <c r="AN405" s="149"/>
      <c r="AP405" s="2"/>
      <c r="AS405" s="19"/>
      <c r="BM405" s="19"/>
      <c r="BN405" s="2"/>
      <c r="BR405" s="19"/>
    </row>
    <row r="406" spans="1:115" x14ac:dyDescent="0.35">
      <c r="A406" s="149"/>
      <c r="E406" s="149"/>
      <c r="F406" s="149"/>
      <c r="G406" s="149"/>
      <c r="H406" s="149"/>
      <c r="I406" s="149"/>
      <c r="J406" s="149"/>
      <c r="K406" s="149"/>
      <c r="L406" s="149"/>
      <c r="M406" s="149"/>
      <c r="N406" s="149"/>
      <c r="O406" s="149"/>
      <c r="P406" s="149"/>
      <c r="Q406" s="149"/>
      <c r="R406" s="149"/>
      <c r="S406" s="149"/>
      <c r="T406" s="149"/>
      <c r="U406" s="149"/>
      <c r="V406" s="149"/>
      <c r="W406" s="149"/>
      <c r="X406" s="149"/>
      <c r="Y406" s="149"/>
      <c r="Z406" s="149"/>
      <c r="AA406" s="149"/>
      <c r="AB406" s="149"/>
      <c r="AC406" s="149"/>
      <c r="AD406" s="149"/>
      <c r="AE406" s="149"/>
      <c r="AF406" s="149"/>
      <c r="AG406" s="149"/>
      <c r="AH406" s="149"/>
      <c r="AI406" s="149"/>
      <c r="AJ406" s="149"/>
      <c r="AK406" s="149"/>
      <c r="AL406" s="149"/>
      <c r="AM406" s="149"/>
      <c r="AN406" s="149"/>
      <c r="AP406" s="2"/>
      <c r="AS406" s="19"/>
      <c r="BM406" s="19"/>
      <c r="BN406" s="2"/>
      <c r="BR406" s="19"/>
    </row>
    <row r="407" spans="1:115" x14ac:dyDescent="0.35">
      <c r="A407" s="149"/>
      <c r="E407" s="149"/>
      <c r="F407" s="149"/>
      <c r="G407" s="149"/>
      <c r="H407" s="149"/>
      <c r="I407" s="149"/>
      <c r="J407" s="149"/>
      <c r="K407" s="149"/>
      <c r="L407" s="149"/>
      <c r="M407" s="149"/>
      <c r="N407" s="149"/>
      <c r="O407" s="149"/>
      <c r="P407" s="149"/>
      <c r="Q407" s="149"/>
      <c r="R407" s="149"/>
      <c r="S407" s="149"/>
      <c r="T407" s="149"/>
      <c r="U407" s="149"/>
      <c r="V407" s="149"/>
      <c r="W407" s="149"/>
      <c r="X407" s="149"/>
      <c r="Y407" s="149"/>
      <c r="Z407" s="149"/>
      <c r="AA407" s="149"/>
      <c r="AB407" s="149"/>
      <c r="AC407" s="149"/>
      <c r="AD407" s="149"/>
      <c r="AE407" s="149"/>
      <c r="AF407" s="149"/>
      <c r="AG407" s="149"/>
      <c r="AH407" s="149"/>
      <c r="AI407" s="149"/>
      <c r="AJ407" s="149"/>
      <c r="AK407" s="149"/>
      <c r="AL407" s="149"/>
      <c r="AM407" s="149"/>
      <c r="AN407" s="149"/>
      <c r="AP407" s="2"/>
      <c r="AS407" s="19"/>
      <c r="BM407" s="19"/>
      <c r="BN407" s="2"/>
      <c r="BR407" s="19"/>
    </row>
    <row r="408" spans="1:115" x14ac:dyDescent="0.35">
      <c r="A408" s="149"/>
      <c r="E408" s="149"/>
      <c r="F408" s="149"/>
      <c r="G408" s="149"/>
      <c r="H408" s="149"/>
      <c r="I408" s="149"/>
      <c r="J408" s="149"/>
      <c r="K408" s="149"/>
      <c r="L408" s="149"/>
      <c r="M408" s="149"/>
      <c r="N408" s="149"/>
      <c r="O408" s="149"/>
      <c r="P408" s="149"/>
      <c r="Q408" s="149"/>
      <c r="R408" s="149"/>
      <c r="S408" s="149"/>
      <c r="T408" s="149"/>
      <c r="U408" s="149"/>
      <c r="V408" s="149"/>
      <c r="W408" s="149"/>
      <c r="X408" s="149"/>
      <c r="Y408" s="149"/>
      <c r="Z408" s="149"/>
      <c r="AA408" s="149"/>
      <c r="AB408" s="149"/>
      <c r="AC408" s="149"/>
      <c r="AD408" s="149"/>
      <c r="AE408" s="149"/>
      <c r="AF408" s="149"/>
      <c r="AG408" s="149"/>
      <c r="AH408" s="149"/>
      <c r="AI408" s="149"/>
      <c r="AJ408" s="149"/>
      <c r="AK408" s="149"/>
      <c r="AL408" s="149"/>
      <c r="AM408" s="149"/>
      <c r="AN408" s="149"/>
      <c r="AP408" s="2"/>
      <c r="AS408" s="19"/>
      <c r="BM408" s="19"/>
      <c r="BN408" s="2"/>
      <c r="BR408" s="19"/>
    </row>
    <row r="409" spans="1:115" x14ac:dyDescent="0.35">
      <c r="A409" s="149"/>
      <c r="E409" s="149"/>
      <c r="F409" s="149"/>
      <c r="G409" s="149"/>
      <c r="H409" s="149"/>
      <c r="I409" s="149"/>
      <c r="J409" s="149"/>
      <c r="K409" s="149"/>
      <c r="L409" s="149"/>
      <c r="M409" s="149"/>
      <c r="N409" s="149"/>
      <c r="O409" s="149"/>
      <c r="P409" s="149"/>
      <c r="Q409" s="149"/>
      <c r="R409" s="149"/>
      <c r="S409" s="149"/>
      <c r="T409" s="149"/>
      <c r="U409" s="149"/>
      <c r="V409" s="149"/>
      <c r="W409" s="149"/>
      <c r="X409" s="149"/>
      <c r="Y409" s="149"/>
      <c r="Z409" s="149"/>
      <c r="AA409" s="149"/>
      <c r="AB409" s="149"/>
      <c r="AC409" s="149"/>
      <c r="AD409" s="149"/>
      <c r="AE409" s="149"/>
      <c r="AF409" s="149"/>
      <c r="AG409" s="149"/>
      <c r="AH409" s="149"/>
      <c r="AI409" s="149"/>
      <c r="AJ409" s="149"/>
      <c r="AK409" s="149"/>
      <c r="AL409" s="149"/>
      <c r="AM409" s="149"/>
      <c r="AN409" s="149"/>
      <c r="AP409" s="2"/>
      <c r="AS409" s="19"/>
      <c r="BM409" s="19"/>
      <c r="BN409" s="2"/>
      <c r="BR409" s="19"/>
    </row>
    <row r="410" spans="1:115" x14ac:dyDescent="0.35">
      <c r="A410" s="149"/>
      <c r="E410" s="149"/>
      <c r="F410" s="149"/>
      <c r="G410" s="149"/>
      <c r="H410" s="149"/>
      <c r="I410" s="149"/>
      <c r="J410" s="149"/>
      <c r="K410" s="149"/>
      <c r="L410" s="149"/>
      <c r="M410" s="149"/>
      <c r="N410" s="149"/>
      <c r="O410" s="149"/>
      <c r="P410" s="149"/>
      <c r="Q410" s="149"/>
      <c r="R410" s="149"/>
      <c r="S410" s="149"/>
      <c r="T410" s="149"/>
      <c r="U410" s="149"/>
      <c r="V410" s="149"/>
      <c r="W410" s="149"/>
      <c r="X410" s="149"/>
      <c r="Y410" s="149"/>
      <c r="Z410" s="149"/>
      <c r="AA410" s="149"/>
      <c r="AB410" s="149"/>
      <c r="AC410" s="149"/>
      <c r="AD410" s="149"/>
      <c r="AE410" s="149"/>
      <c r="AF410" s="149"/>
      <c r="AG410" s="149"/>
      <c r="AH410" s="149"/>
      <c r="AI410" s="149"/>
      <c r="AJ410" s="149"/>
      <c r="AK410" s="149"/>
      <c r="AL410" s="149"/>
      <c r="AM410" s="149"/>
      <c r="AN410" s="149"/>
      <c r="AP410" s="2"/>
      <c r="AS410" s="19"/>
      <c r="BM410" s="19"/>
      <c r="BN410" s="2"/>
      <c r="BR410" s="19"/>
    </row>
    <row r="411" spans="1:115" x14ac:dyDescent="0.35">
      <c r="A411" s="149"/>
      <c r="E411" s="149"/>
      <c r="F411" s="149"/>
      <c r="G411" s="149"/>
      <c r="H411" s="149"/>
      <c r="I411" s="149"/>
      <c r="J411" s="149"/>
      <c r="K411" s="149"/>
      <c r="L411" s="149"/>
      <c r="M411" s="149"/>
      <c r="N411" s="149"/>
      <c r="O411" s="149"/>
      <c r="P411" s="149"/>
      <c r="Q411" s="149"/>
      <c r="R411" s="149"/>
      <c r="S411" s="149"/>
      <c r="T411" s="149"/>
      <c r="U411" s="149"/>
      <c r="V411" s="149"/>
      <c r="W411" s="149"/>
      <c r="X411" s="149"/>
      <c r="Y411" s="149"/>
      <c r="Z411" s="149"/>
      <c r="AA411" s="149"/>
      <c r="AB411" s="149"/>
      <c r="AC411" s="149"/>
      <c r="AD411" s="149"/>
      <c r="AE411" s="149"/>
      <c r="AF411" s="149"/>
      <c r="AG411" s="149"/>
      <c r="AH411" s="149"/>
      <c r="AI411" s="149"/>
      <c r="AJ411" s="149"/>
      <c r="AK411" s="149"/>
      <c r="AL411" s="149"/>
      <c r="AM411" s="149"/>
      <c r="AN411" s="149"/>
      <c r="AP411" s="2"/>
      <c r="AS411" s="19"/>
      <c r="BM411" s="19"/>
      <c r="BN411" s="2"/>
      <c r="BR411" s="19"/>
    </row>
    <row r="412" spans="1:115" x14ac:dyDescent="0.35">
      <c r="A412" s="149"/>
      <c r="E412" s="149"/>
      <c r="F412" s="149"/>
      <c r="G412" s="149"/>
      <c r="H412" s="149"/>
      <c r="I412" s="149"/>
      <c r="J412" s="149"/>
      <c r="K412" s="149"/>
      <c r="L412" s="149"/>
      <c r="M412" s="149"/>
      <c r="N412" s="149"/>
      <c r="O412" s="149"/>
      <c r="P412" s="149"/>
      <c r="Q412" s="149"/>
      <c r="R412" s="149"/>
      <c r="S412" s="149"/>
      <c r="T412" s="149"/>
      <c r="U412" s="149"/>
      <c r="V412" s="149"/>
      <c r="W412" s="149"/>
      <c r="X412" s="149"/>
      <c r="Y412" s="149"/>
      <c r="Z412" s="149"/>
      <c r="AA412" s="149"/>
      <c r="AB412" s="149"/>
      <c r="AC412" s="149"/>
      <c r="AD412" s="149"/>
      <c r="AE412" s="149"/>
      <c r="AF412" s="149"/>
      <c r="AG412" s="149"/>
      <c r="AH412" s="149"/>
      <c r="AI412" s="149"/>
      <c r="AJ412" s="149"/>
      <c r="AK412" s="149"/>
      <c r="AL412" s="149"/>
      <c r="AM412" s="149"/>
      <c r="AN412" s="149"/>
      <c r="AP412" s="2"/>
      <c r="AS412" s="19"/>
      <c r="BM412" s="19"/>
      <c r="BN412" s="2"/>
      <c r="BR412" s="19"/>
    </row>
    <row r="413" spans="1:115" x14ac:dyDescent="0.35">
      <c r="A413" s="149"/>
      <c r="E413" s="149"/>
      <c r="F413" s="149"/>
      <c r="G413" s="149"/>
      <c r="H413" s="149"/>
      <c r="I413" s="149"/>
      <c r="J413" s="149"/>
      <c r="K413" s="149"/>
      <c r="L413" s="149"/>
      <c r="M413" s="149"/>
      <c r="N413" s="149"/>
      <c r="O413" s="149"/>
      <c r="P413" s="149"/>
      <c r="Q413" s="149"/>
      <c r="R413" s="149"/>
      <c r="S413" s="149"/>
      <c r="T413" s="149"/>
      <c r="U413" s="149"/>
      <c r="V413" s="149"/>
      <c r="W413" s="149"/>
      <c r="X413" s="149"/>
      <c r="Y413" s="149"/>
      <c r="Z413" s="149"/>
      <c r="AA413" s="149"/>
      <c r="AB413" s="149"/>
      <c r="AC413" s="149"/>
      <c r="AD413" s="149"/>
      <c r="AE413" s="149"/>
      <c r="AF413" s="149"/>
      <c r="AG413" s="149"/>
      <c r="AH413" s="149"/>
      <c r="AI413" s="149"/>
      <c r="AJ413" s="149"/>
      <c r="AK413" s="149"/>
      <c r="AL413" s="149"/>
      <c r="AM413" s="149"/>
      <c r="AN413" s="149"/>
      <c r="AP413" s="2"/>
      <c r="AS413" s="19"/>
      <c r="BM413" s="19"/>
      <c r="BN413" s="2"/>
      <c r="BR413" s="19"/>
    </row>
    <row r="414" spans="1:115" x14ac:dyDescent="0.35">
      <c r="A414" s="149"/>
      <c r="E414" s="149"/>
      <c r="F414" s="149"/>
      <c r="G414" s="149"/>
      <c r="H414" s="149"/>
      <c r="I414" s="149"/>
      <c r="J414" s="149"/>
      <c r="K414" s="149"/>
      <c r="L414" s="149"/>
      <c r="M414" s="149"/>
      <c r="N414" s="149"/>
      <c r="O414" s="149"/>
      <c r="P414" s="149"/>
      <c r="Q414" s="149"/>
      <c r="R414" s="149"/>
      <c r="S414" s="149"/>
      <c r="T414" s="149"/>
      <c r="U414" s="149"/>
      <c r="V414" s="149"/>
      <c r="W414" s="149"/>
      <c r="X414" s="149"/>
      <c r="Y414" s="149"/>
      <c r="Z414" s="149"/>
      <c r="AA414" s="149"/>
      <c r="AB414" s="149"/>
      <c r="AC414" s="149"/>
      <c r="AD414" s="149"/>
      <c r="AE414" s="149"/>
      <c r="AF414" s="149"/>
      <c r="AG414" s="149"/>
      <c r="AH414" s="149"/>
      <c r="AI414" s="149"/>
      <c r="AJ414" s="149"/>
      <c r="AK414" s="149"/>
      <c r="AL414" s="149"/>
      <c r="AM414" s="149"/>
      <c r="AN414" s="149"/>
      <c r="AP414" s="2"/>
      <c r="AS414" s="19"/>
      <c r="BM414" s="19"/>
      <c r="BN414" s="2"/>
      <c r="BR414" s="19"/>
    </row>
    <row r="415" spans="1:115" x14ac:dyDescent="0.35">
      <c r="A415" s="149"/>
      <c r="E415" s="149"/>
      <c r="F415" s="149"/>
      <c r="G415" s="149"/>
      <c r="H415" s="149"/>
      <c r="I415" s="149"/>
      <c r="J415" s="149"/>
      <c r="K415" s="149"/>
      <c r="L415" s="149"/>
      <c r="M415" s="149"/>
      <c r="N415" s="149"/>
      <c r="O415" s="149"/>
      <c r="P415" s="149"/>
      <c r="Q415" s="149"/>
      <c r="R415" s="149"/>
      <c r="S415" s="149"/>
      <c r="T415" s="149"/>
      <c r="U415" s="149"/>
      <c r="V415" s="149"/>
      <c r="W415" s="149"/>
      <c r="X415" s="149"/>
      <c r="Y415" s="149"/>
      <c r="Z415" s="149"/>
      <c r="AA415" s="149"/>
      <c r="AB415" s="149"/>
      <c r="AC415" s="149"/>
      <c r="AD415" s="149"/>
      <c r="AE415" s="149"/>
      <c r="AF415" s="149"/>
      <c r="AG415" s="149"/>
      <c r="AH415" s="149"/>
      <c r="AI415" s="149"/>
      <c r="AJ415" s="149"/>
      <c r="AK415" s="149"/>
      <c r="AL415" s="149"/>
      <c r="AM415" s="149"/>
      <c r="AN415" s="149"/>
      <c r="AO415" s="149"/>
      <c r="AP415" s="149"/>
      <c r="AQ415" s="149"/>
      <c r="AR415" s="149"/>
      <c r="AS415" s="149"/>
      <c r="AT415" s="149"/>
      <c r="AU415" s="149"/>
      <c r="AV415" s="149"/>
      <c r="AW415" s="149"/>
      <c r="AX415" s="149"/>
      <c r="AY415" s="149"/>
      <c r="AZ415" s="149"/>
      <c r="BA415" s="149"/>
      <c r="BB415" s="149"/>
      <c r="BC415" s="149"/>
      <c r="BD415" s="149"/>
      <c r="BE415" s="149"/>
      <c r="BF415" s="149"/>
      <c r="BG415" s="149"/>
      <c r="BH415" s="149"/>
      <c r="BI415" s="149"/>
      <c r="BJ415" s="149"/>
      <c r="BK415" s="149"/>
      <c r="BL415" s="149"/>
      <c r="BM415" s="149"/>
      <c r="BN415" s="149"/>
      <c r="BO415" s="149"/>
      <c r="BP415" s="149"/>
      <c r="BQ415" s="149"/>
      <c r="BR415" s="149"/>
      <c r="BS415" s="149"/>
      <c r="BT415" s="149"/>
      <c r="BU415" s="149"/>
      <c r="BV415" s="149"/>
      <c r="BW415" s="149"/>
      <c r="BX415" s="149"/>
      <c r="BY415" s="149"/>
      <c r="BZ415" s="149"/>
      <c r="CA415" s="149"/>
      <c r="CB415" s="149"/>
      <c r="CC415" s="149"/>
      <c r="CD415" s="149"/>
      <c r="CE415" s="149"/>
      <c r="CF415" s="149"/>
      <c r="CG415" s="149"/>
      <c r="CH415" s="149"/>
      <c r="CI415" s="149"/>
      <c r="CJ415" s="149"/>
      <c r="CK415" s="149"/>
      <c r="CL415" s="149"/>
      <c r="CM415" s="149"/>
      <c r="CN415" s="149"/>
      <c r="CO415" s="149"/>
      <c r="CP415" s="149"/>
      <c r="CQ415" s="149"/>
      <c r="CR415" s="149"/>
      <c r="CS415" s="149"/>
      <c r="CT415" s="149"/>
      <c r="CU415" s="149"/>
      <c r="CV415" s="149"/>
      <c r="CW415" s="149"/>
      <c r="CX415" s="149"/>
      <c r="CY415" s="149"/>
      <c r="CZ415" s="149"/>
      <c r="DA415" s="149"/>
      <c r="DB415" s="149"/>
      <c r="DC415" s="149"/>
      <c r="DD415" s="149"/>
      <c r="DE415" s="149"/>
      <c r="DF415" s="149"/>
      <c r="DG415" s="149"/>
      <c r="DH415" s="149"/>
      <c r="DI415" s="149"/>
      <c r="DJ415" s="149"/>
      <c r="DK415" s="149"/>
    </row>
    <row r="416" spans="1:115" x14ac:dyDescent="0.35">
      <c r="A416" s="149"/>
      <c r="E416" s="149"/>
      <c r="F416" s="149"/>
      <c r="G416" s="149"/>
      <c r="H416" s="149"/>
      <c r="I416" s="149"/>
      <c r="J416" s="149"/>
      <c r="K416" s="149"/>
      <c r="L416" s="149"/>
      <c r="M416" s="149"/>
      <c r="N416" s="149"/>
      <c r="O416" s="149"/>
      <c r="P416" s="149"/>
      <c r="Q416" s="149"/>
      <c r="R416" s="149"/>
      <c r="S416" s="149"/>
      <c r="T416" s="149"/>
      <c r="U416" s="149"/>
      <c r="V416" s="149"/>
      <c r="W416" s="149"/>
      <c r="X416" s="149"/>
      <c r="Y416" s="149"/>
      <c r="Z416" s="149"/>
      <c r="AA416" s="149"/>
      <c r="AB416" s="149"/>
      <c r="AC416" s="149"/>
      <c r="AD416" s="149"/>
      <c r="AE416" s="149"/>
      <c r="AF416" s="149"/>
      <c r="AG416" s="149"/>
      <c r="AH416" s="149"/>
      <c r="AI416" s="149"/>
      <c r="AJ416" s="149"/>
      <c r="AK416" s="149"/>
      <c r="AL416" s="149"/>
      <c r="AM416" s="149"/>
      <c r="AN416" s="149"/>
      <c r="AO416" s="149"/>
      <c r="AP416" s="149"/>
      <c r="AQ416" s="149"/>
      <c r="AR416" s="149"/>
      <c r="AS416" s="149"/>
      <c r="AT416" s="149"/>
      <c r="AU416" s="149"/>
      <c r="AV416" s="149"/>
      <c r="AW416" s="149"/>
      <c r="AX416" s="149"/>
      <c r="AY416" s="149"/>
      <c r="AZ416" s="149"/>
      <c r="BA416" s="149"/>
      <c r="BB416" s="149"/>
      <c r="BC416" s="149"/>
      <c r="BD416" s="149"/>
      <c r="BE416" s="149"/>
      <c r="BF416" s="149"/>
      <c r="BG416" s="149"/>
      <c r="BH416" s="149"/>
      <c r="BI416" s="149"/>
      <c r="BJ416" s="149"/>
      <c r="BK416" s="149"/>
      <c r="BL416" s="149"/>
      <c r="BM416" s="149"/>
      <c r="BN416" s="149"/>
      <c r="BO416" s="149"/>
      <c r="BP416" s="149"/>
      <c r="BQ416" s="149"/>
      <c r="BR416" s="149"/>
      <c r="BS416" s="149"/>
      <c r="BT416" s="149"/>
      <c r="BU416" s="149"/>
      <c r="BV416" s="149"/>
      <c r="BW416" s="149"/>
      <c r="BX416" s="149"/>
      <c r="BY416" s="149"/>
      <c r="BZ416" s="149"/>
      <c r="CA416" s="149"/>
      <c r="CB416" s="149"/>
      <c r="CC416" s="149"/>
      <c r="CD416" s="149"/>
      <c r="CE416" s="149"/>
      <c r="CF416" s="149"/>
      <c r="CG416" s="149"/>
      <c r="CH416" s="149"/>
      <c r="CI416" s="149"/>
      <c r="CJ416" s="149"/>
      <c r="CK416" s="149"/>
      <c r="CL416" s="149"/>
      <c r="CM416" s="149"/>
      <c r="CN416" s="149"/>
      <c r="CO416" s="149"/>
      <c r="CP416" s="149"/>
      <c r="CQ416" s="149"/>
      <c r="CR416" s="149"/>
      <c r="CS416" s="149"/>
      <c r="CT416" s="149"/>
      <c r="CU416" s="149"/>
      <c r="CV416" s="149"/>
      <c r="CW416" s="149"/>
      <c r="CX416" s="149"/>
      <c r="CY416" s="149"/>
      <c r="CZ416" s="149"/>
      <c r="DA416" s="149"/>
      <c r="DB416" s="149"/>
      <c r="DC416" s="149"/>
      <c r="DD416" s="149"/>
      <c r="DE416" s="149"/>
      <c r="DF416" s="149"/>
      <c r="DG416" s="149"/>
      <c r="DH416" s="149"/>
      <c r="DI416" s="149"/>
      <c r="DJ416" s="149"/>
      <c r="DK416" s="149"/>
    </row>
    <row r="417" spans="1:115" x14ac:dyDescent="0.35">
      <c r="A417" s="149"/>
      <c r="E417" s="149"/>
      <c r="F417" s="149"/>
      <c r="G417" s="149"/>
      <c r="H417" s="149"/>
      <c r="I417" s="149"/>
      <c r="J417" s="149"/>
      <c r="K417" s="149"/>
      <c r="L417" s="149"/>
      <c r="M417" s="149"/>
      <c r="N417" s="149"/>
      <c r="O417" s="149"/>
      <c r="P417" s="149"/>
      <c r="Q417" s="149"/>
      <c r="R417" s="149"/>
      <c r="S417" s="149"/>
      <c r="T417" s="149"/>
      <c r="U417" s="149"/>
      <c r="V417" s="149"/>
      <c r="W417" s="149"/>
      <c r="X417" s="149"/>
      <c r="Y417" s="149"/>
      <c r="Z417" s="149"/>
      <c r="AA417" s="149"/>
      <c r="AB417" s="149"/>
      <c r="AC417" s="149"/>
      <c r="AD417" s="149"/>
      <c r="AE417" s="149"/>
      <c r="AF417" s="149"/>
      <c r="AG417" s="149"/>
      <c r="AH417" s="149"/>
      <c r="AI417" s="149"/>
      <c r="AJ417" s="149"/>
      <c r="AK417" s="149"/>
      <c r="AL417" s="149"/>
      <c r="AM417" s="149"/>
      <c r="AN417" s="149"/>
      <c r="AO417" s="149"/>
      <c r="AP417" s="149"/>
      <c r="AQ417" s="149"/>
      <c r="AR417" s="149"/>
      <c r="AS417" s="149"/>
      <c r="AT417" s="149"/>
      <c r="AU417" s="149"/>
      <c r="AV417" s="149"/>
      <c r="AW417" s="149"/>
      <c r="AX417" s="149"/>
      <c r="AY417" s="149"/>
      <c r="AZ417" s="149"/>
      <c r="BA417" s="149"/>
      <c r="BB417" s="149"/>
      <c r="BC417" s="149"/>
      <c r="BD417" s="149"/>
      <c r="BE417" s="149"/>
      <c r="BF417" s="149"/>
      <c r="BG417" s="149"/>
      <c r="BH417" s="149"/>
      <c r="BI417" s="149"/>
      <c r="BJ417" s="149"/>
      <c r="BK417" s="149"/>
      <c r="BL417" s="149"/>
      <c r="BM417" s="149"/>
      <c r="BN417" s="149"/>
      <c r="BO417" s="149"/>
      <c r="BP417" s="149"/>
      <c r="BQ417" s="149"/>
      <c r="BR417" s="149"/>
      <c r="BS417" s="149"/>
      <c r="BT417" s="149"/>
      <c r="BU417" s="149"/>
      <c r="BV417" s="149"/>
      <c r="BW417" s="149"/>
      <c r="BX417" s="149"/>
      <c r="BY417" s="149"/>
      <c r="BZ417" s="149"/>
      <c r="CA417" s="149"/>
      <c r="CB417" s="149"/>
      <c r="CC417" s="149"/>
      <c r="CD417" s="149"/>
      <c r="CE417" s="149"/>
      <c r="CF417" s="149"/>
      <c r="CG417" s="149"/>
      <c r="CH417" s="149"/>
      <c r="CI417" s="149"/>
      <c r="CJ417" s="149"/>
      <c r="CK417" s="149"/>
      <c r="CL417" s="149"/>
      <c r="CM417" s="149"/>
      <c r="CN417" s="149"/>
      <c r="CO417" s="149"/>
      <c r="CP417" s="149"/>
      <c r="CQ417" s="149"/>
      <c r="CR417" s="149"/>
      <c r="CS417" s="149"/>
      <c r="CT417" s="149"/>
      <c r="CU417" s="149"/>
      <c r="CV417" s="149"/>
      <c r="CW417" s="149"/>
      <c r="CX417" s="149"/>
      <c r="CY417" s="149"/>
      <c r="CZ417" s="149"/>
      <c r="DA417" s="149"/>
      <c r="DB417" s="149"/>
      <c r="DC417" s="149"/>
      <c r="DD417" s="149"/>
      <c r="DE417" s="149"/>
      <c r="DF417" s="149"/>
      <c r="DG417" s="149"/>
      <c r="DH417" s="149"/>
      <c r="DI417" s="149"/>
      <c r="DJ417" s="149"/>
      <c r="DK417" s="149"/>
    </row>
    <row r="418" spans="1:115" x14ac:dyDescent="0.35">
      <c r="A418" s="149"/>
      <c r="E418" s="149"/>
      <c r="F418" s="149"/>
      <c r="G418" s="149"/>
      <c r="H418" s="149"/>
      <c r="I418" s="149"/>
      <c r="J418" s="149"/>
      <c r="K418" s="149"/>
      <c r="L418" s="149"/>
      <c r="M418" s="149"/>
      <c r="N418" s="149"/>
      <c r="O418" s="149"/>
      <c r="P418" s="149"/>
      <c r="Q418" s="149"/>
      <c r="R418" s="149"/>
      <c r="S418" s="149"/>
      <c r="T418" s="149"/>
      <c r="U418" s="149"/>
      <c r="V418" s="149"/>
      <c r="W418" s="149"/>
      <c r="X418" s="149"/>
      <c r="Y418" s="149"/>
      <c r="Z418" s="149"/>
      <c r="AA418" s="149"/>
      <c r="AB418" s="149"/>
      <c r="AC418" s="149"/>
      <c r="AD418" s="149"/>
      <c r="AE418" s="149"/>
      <c r="AF418" s="149"/>
      <c r="AG418" s="149"/>
      <c r="AH418" s="149"/>
      <c r="AI418" s="149"/>
      <c r="AJ418" s="149"/>
      <c r="AK418" s="149"/>
      <c r="AL418" s="149"/>
      <c r="AM418" s="149"/>
      <c r="AN418" s="149"/>
      <c r="AO418" s="149"/>
      <c r="AP418" s="149"/>
      <c r="AQ418" s="149"/>
      <c r="AR418" s="149"/>
      <c r="AS418" s="149"/>
      <c r="AT418" s="149"/>
      <c r="AU418" s="149"/>
      <c r="AV418" s="149"/>
      <c r="AW418" s="149"/>
      <c r="AX418" s="149"/>
      <c r="AY418" s="149"/>
      <c r="AZ418" s="149"/>
      <c r="BA418" s="149"/>
      <c r="BB418" s="149"/>
      <c r="BC418" s="149"/>
      <c r="BD418" s="149"/>
      <c r="BE418" s="149"/>
      <c r="BF418" s="149"/>
      <c r="BG418" s="149"/>
      <c r="BH418" s="149"/>
      <c r="BI418" s="149"/>
      <c r="BJ418" s="149"/>
      <c r="BK418" s="149"/>
      <c r="BL418" s="149"/>
      <c r="BM418" s="149"/>
      <c r="BN418" s="149"/>
      <c r="BO418" s="149"/>
      <c r="BP418" s="149"/>
      <c r="BQ418" s="149"/>
      <c r="BR418" s="149"/>
      <c r="BS418" s="149"/>
      <c r="BT418" s="149"/>
      <c r="BU418" s="149"/>
      <c r="BV418" s="149"/>
      <c r="BW418" s="149"/>
      <c r="BX418" s="149"/>
      <c r="BY418" s="149"/>
      <c r="BZ418" s="149"/>
      <c r="CA418" s="149"/>
      <c r="CB418" s="149"/>
      <c r="CC418" s="149"/>
      <c r="CD418" s="149"/>
      <c r="CE418" s="149"/>
      <c r="CF418" s="149"/>
      <c r="CG418" s="149"/>
      <c r="CH418" s="149"/>
      <c r="CI418" s="149"/>
      <c r="CJ418" s="149"/>
      <c r="CK418" s="149"/>
      <c r="CL418" s="149"/>
      <c r="CM418" s="149"/>
      <c r="CN418" s="149"/>
      <c r="CO418" s="149"/>
      <c r="CP418" s="149"/>
      <c r="CQ418" s="149"/>
      <c r="CR418" s="149"/>
      <c r="CS418" s="149"/>
      <c r="CT418" s="149"/>
      <c r="CU418" s="149"/>
      <c r="CV418" s="149"/>
      <c r="CW418" s="149"/>
      <c r="CX418" s="149"/>
      <c r="CY418" s="149"/>
      <c r="CZ418" s="149"/>
      <c r="DA418" s="149"/>
      <c r="DB418" s="149"/>
      <c r="DC418" s="149"/>
      <c r="DD418" s="149"/>
      <c r="DE418" s="149"/>
      <c r="DF418" s="149"/>
      <c r="DG418" s="149"/>
      <c r="DH418" s="149"/>
      <c r="DI418" s="149"/>
      <c r="DJ418" s="149"/>
      <c r="DK418" s="149"/>
    </row>
    <row r="419" spans="1:115" x14ac:dyDescent="0.35">
      <c r="A419" s="149"/>
      <c r="E419" s="149"/>
      <c r="F419" s="149"/>
      <c r="G419" s="149"/>
      <c r="H419" s="149"/>
      <c r="I419" s="149"/>
      <c r="J419" s="149"/>
      <c r="K419" s="149"/>
      <c r="L419" s="149"/>
      <c r="M419" s="149"/>
      <c r="N419" s="149"/>
      <c r="O419" s="149"/>
      <c r="P419" s="149"/>
      <c r="Q419" s="149"/>
      <c r="R419" s="149"/>
      <c r="S419" s="149"/>
      <c r="T419" s="149"/>
      <c r="U419" s="149"/>
      <c r="V419" s="149"/>
      <c r="W419" s="149"/>
      <c r="X419" s="149"/>
      <c r="Y419" s="149"/>
      <c r="Z419" s="149"/>
      <c r="AA419" s="149"/>
      <c r="AB419" s="149"/>
      <c r="AC419" s="149"/>
      <c r="AD419" s="149"/>
      <c r="AE419" s="149"/>
      <c r="AF419" s="149"/>
      <c r="AG419" s="149"/>
      <c r="AH419" s="149"/>
      <c r="AI419" s="149"/>
      <c r="AJ419" s="149"/>
      <c r="AK419" s="149"/>
      <c r="AL419" s="149"/>
      <c r="AM419" s="149"/>
      <c r="AN419" s="149"/>
      <c r="AO419" s="149"/>
      <c r="AP419" s="149"/>
      <c r="AQ419" s="149"/>
      <c r="AR419" s="149"/>
      <c r="AS419" s="149"/>
      <c r="AT419" s="149"/>
      <c r="AU419" s="149"/>
      <c r="AV419" s="149"/>
      <c r="AW419" s="149"/>
      <c r="AX419" s="149"/>
      <c r="AY419" s="149"/>
      <c r="AZ419" s="149"/>
      <c r="BA419" s="149"/>
      <c r="BB419" s="149"/>
      <c r="BC419" s="149"/>
      <c r="BD419" s="149"/>
      <c r="BE419" s="149"/>
      <c r="BF419" s="149"/>
      <c r="BG419" s="149"/>
      <c r="BH419" s="149"/>
      <c r="BI419" s="149"/>
      <c r="BJ419" s="149"/>
      <c r="BK419" s="149"/>
      <c r="BL419" s="149"/>
      <c r="BM419" s="149"/>
      <c r="BN419" s="149"/>
      <c r="BO419" s="149"/>
      <c r="BP419" s="149"/>
      <c r="BQ419" s="149"/>
      <c r="BR419" s="149"/>
      <c r="BS419" s="149"/>
      <c r="BT419" s="149"/>
      <c r="BU419" s="149"/>
      <c r="BV419" s="149"/>
      <c r="BW419" s="149"/>
      <c r="BX419" s="149"/>
      <c r="BY419" s="149"/>
      <c r="BZ419" s="149"/>
      <c r="CA419" s="149"/>
      <c r="CB419" s="149"/>
      <c r="CC419" s="149"/>
      <c r="CD419" s="149"/>
      <c r="CE419" s="149"/>
      <c r="CF419" s="149"/>
      <c r="CG419" s="149"/>
      <c r="CH419" s="149"/>
      <c r="CI419" s="149"/>
      <c r="CJ419" s="149"/>
      <c r="CK419" s="149"/>
      <c r="CL419" s="149"/>
      <c r="CM419" s="149"/>
      <c r="CN419" s="149"/>
      <c r="CO419" s="149"/>
      <c r="CP419" s="149"/>
      <c r="CQ419" s="149"/>
      <c r="CR419" s="149"/>
      <c r="CS419" s="149"/>
      <c r="CT419" s="149"/>
      <c r="CU419" s="149"/>
      <c r="CV419" s="149"/>
      <c r="CW419" s="149"/>
      <c r="CX419" s="149"/>
      <c r="CY419" s="149"/>
      <c r="CZ419" s="149"/>
      <c r="DA419" s="149"/>
      <c r="DB419" s="149"/>
      <c r="DC419" s="149"/>
      <c r="DD419" s="149"/>
      <c r="DE419" s="149"/>
      <c r="DF419" s="149"/>
      <c r="DG419" s="149"/>
      <c r="DH419" s="149"/>
      <c r="DI419" s="149"/>
      <c r="DJ419" s="149"/>
      <c r="DK419" s="149"/>
    </row>
    <row r="420" spans="1:115" x14ac:dyDescent="0.35">
      <c r="A420" s="149"/>
      <c r="E420" s="149"/>
      <c r="F420" s="149"/>
      <c r="G420" s="149"/>
      <c r="H420" s="149"/>
      <c r="I420" s="149"/>
      <c r="J420" s="149"/>
      <c r="K420" s="149"/>
      <c r="L420" s="149"/>
      <c r="M420" s="149"/>
      <c r="N420" s="149"/>
      <c r="O420" s="149"/>
      <c r="P420" s="149"/>
      <c r="Q420" s="149"/>
      <c r="R420" s="149"/>
      <c r="S420" s="149"/>
      <c r="T420" s="149"/>
      <c r="U420" s="149"/>
      <c r="V420" s="149"/>
      <c r="W420" s="149"/>
      <c r="X420" s="149"/>
      <c r="Y420" s="149"/>
      <c r="Z420" s="149"/>
      <c r="AA420" s="149"/>
      <c r="AB420" s="149"/>
      <c r="AC420" s="149"/>
      <c r="AD420" s="149"/>
      <c r="AE420" s="149"/>
      <c r="AF420" s="149"/>
      <c r="AG420" s="149"/>
      <c r="AH420" s="149"/>
      <c r="AI420" s="149"/>
      <c r="AJ420" s="149"/>
      <c r="AK420" s="149"/>
      <c r="AL420" s="149"/>
      <c r="AM420" s="149"/>
      <c r="AN420" s="149"/>
      <c r="AO420" s="149"/>
      <c r="AP420" s="149"/>
      <c r="AQ420" s="149"/>
      <c r="AR420" s="149"/>
      <c r="AS420" s="149"/>
      <c r="AT420" s="149"/>
      <c r="AU420" s="149"/>
      <c r="AV420" s="149"/>
      <c r="AW420" s="149"/>
      <c r="AX420" s="149"/>
      <c r="AY420" s="149"/>
      <c r="AZ420" s="149"/>
      <c r="BA420" s="149"/>
      <c r="BB420" s="149"/>
      <c r="BC420" s="149"/>
      <c r="BD420" s="149"/>
      <c r="BE420" s="149"/>
      <c r="BF420" s="149"/>
      <c r="BG420" s="149"/>
      <c r="BH420" s="149"/>
      <c r="BI420" s="149"/>
      <c r="BJ420" s="149"/>
      <c r="BK420" s="149"/>
      <c r="BL420" s="149"/>
      <c r="BM420" s="149"/>
      <c r="BN420" s="149"/>
      <c r="BO420" s="149"/>
      <c r="BP420" s="149"/>
      <c r="BQ420" s="149"/>
      <c r="BR420" s="149"/>
      <c r="BS420" s="149"/>
      <c r="BT420" s="149"/>
      <c r="BU420" s="149"/>
      <c r="BV420" s="149"/>
      <c r="BW420" s="149"/>
      <c r="BX420" s="149"/>
      <c r="BY420" s="149"/>
      <c r="BZ420" s="149"/>
      <c r="CA420" s="149"/>
      <c r="CB420" s="149"/>
      <c r="CC420" s="149"/>
      <c r="CD420" s="149"/>
      <c r="CE420" s="149"/>
      <c r="CF420" s="149"/>
      <c r="CG420" s="149"/>
      <c r="CH420" s="149"/>
      <c r="CI420" s="149"/>
      <c r="CJ420" s="149"/>
      <c r="CK420" s="149"/>
      <c r="CL420" s="149"/>
      <c r="CM420" s="149"/>
      <c r="CN420" s="149"/>
      <c r="CO420" s="149"/>
      <c r="CP420" s="149"/>
      <c r="CQ420" s="149"/>
      <c r="CR420" s="149"/>
      <c r="CS420" s="149"/>
      <c r="CT420" s="149"/>
      <c r="CU420" s="149"/>
      <c r="CV420" s="149"/>
      <c r="CW420" s="149"/>
      <c r="CX420" s="149"/>
      <c r="CY420" s="149"/>
      <c r="CZ420" s="149"/>
      <c r="DA420" s="149"/>
      <c r="DB420" s="149"/>
      <c r="DC420" s="149"/>
      <c r="DD420" s="149"/>
      <c r="DE420" s="149"/>
      <c r="DF420" s="149"/>
      <c r="DG420" s="149"/>
      <c r="DH420" s="149"/>
      <c r="DI420" s="149"/>
      <c r="DJ420" s="149"/>
      <c r="DK420" s="149"/>
    </row>
    <row r="421" spans="1:115" x14ac:dyDescent="0.35">
      <c r="A421" s="149"/>
      <c r="E421" s="149"/>
      <c r="F421" s="149"/>
      <c r="G421" s="149"/>
      <c r="H421" s="149"/>
      <c r="I421" s="149"/>
      <c r="J421" s="149"/>
      <c r="K421" s="149"/>
      <c r="L421" s="149"/>
      <c r="M421" s="149"/>
      <c r="N421" s="149"/>
      <c r="O421" s="149"/>
      <c r="P421" s="149"/>
      <c r="Q421" s="149"/>
      <c r="R421" s="149"/>
      <c r="S421" s="149"/>
      <c r="T421" s="149"/>
      <c r="U421" s="149"/>
      <c r="V421" s="149"/>
      <c r="W421" s="149"/>
      <c r="X421" s="149"/>
      <c r="Y421" s="149"/>
      <c r="Z421" s="149"/>
      <c r="AA421" s="149"/>
      <c r="AB421" s="149"/>
      <c r="AC421" s="149"/>
      <c r="AD421" s="149"/>
      <c r="AE421" s="149"/>
      <c r="AF421" s="149"/>
      <c r="AG421" s="149"/>
      <c r="AH421" s="149"/>
      <c r="AI421" s="149"/>
      <c r="AJ421" s="149"/>
      <c r="AK421" s="149"/>
      <c r="AL421" s="149"/>
      <c r="AM421" s="149"/>
      <c r="AN421" s="149"/>
      <c r="AO421" s="149"/>
      <c r="AP421" s="149"/>
      <c r="AQ421" s="149"/>
      <c r="AR421" s="149"/>
      <c r="AS421" s="149"/>
      <c r="AT421" s="149"/>
      <c r="AU421" s="149"/>
      <c r="AV421" s="149"/>
      <c r="AW421" s="149"/>
      <c r="AX421" s="149"/>
      <c r="AY421" s="149"/>
      <c r="AZ421" s="149"/>
      <c r="BA421" s="149"/>
      <c r="BB421" s="149"/>
      <c r="BC421" s="149"/>
      <c r="BD421" s="149"/>
      <c r="BE421" s="149"/>
      <c r="BF421" s="149"/>
      <c r="BG421" s="149"/>
      <c r="BH421" s="149"/>
      <c r="BI421" s="149"/>
      <c r="BJ421" s="149"/>
      <c r="BK421" s="149"/>
      <c r="BL421" s="149"/>
      <c r="BM421" s="149"/>
      <c r="BN421" s="149"/>
      <c r="BO421" s="149"/>
      <c r="BP421" s="149"/>
      <c r="BQ421" s="149"/>
      <c r="BR421" s="149"/>
      <c r="BS421" s="149"/>
      <c r="BT421" s="149"/>
      <c r="BU421" s="149"/>
      <c r="BV421" s="149"/>
      <c r="BW421" s="149"/>
      <c r="BX421" s="149"/>
      <c r="BY421" s="149"/>
      <c r="BZ421" s="149"/>
      <c r="CA421" s="149"/>
      <c r="CB421" s="149"/>
      <c r="CC421" s="149"/>
      <c r="CD421" s="149"/>
      <c r="CE421" s="149"/>
      <c r="CF421" s="149"/>
      <c r="CG421" s="149"/>
      <c r="CH421" s="149"/>
      <c r="CI421" s="149"/>
      <c r="CJ421" s="149"/>
      <c r="CK421" s="149"/>
      <c r="CL421" s="149"/>
      <c r="CM421" s="149"/>
      <c r="CN421" s="149"/>
      <c r="CO421" s="149"/>
      <c r="CP421" s="149"/>
      <c r="CQ421" s="149"/>
      <c r="CR421" s="149"/>
      <c r="CS421" s="149"/>
      <c r="CT421" s="149"/>
      <c r="CU421" s="149"/>
      <c r="CV421" s="149"/>
      <c r="CW421" s="149"/>
      <c r="CX421" s="149"/>
      <c r="CY421" s="149"/>
      <c r="CZ421" s="149"/>
      <c r="DA421" s="149"/>
      <c r="DB421" s="149"/>
      <c r="DC421" s="149"/>
      <c r="DD421" s="149"/>
      <c r="DE421" s="149"/>
      <c r="DF421" s="149"/>
      <c r="DG421" s="149"/>
      <c r="DH421" s="149"/>
      <c r="DI421" s="149"/>
      <c r="DJ421" s="149"/>
      <c r="DK421" s="149"/>
    </row>
    <row r="422" spans="1:115" x14ac:dyDescent="0.35">
      <c r="A422" s="149"/>
      <c r="E422" s="149"/>
      <c r="F422" s="149"/>
      <c r="G422" s="149"/>
      <c r="H422" s="149"/>
      <c r="I422" s="149"/>
      <c r="J422" s="149"/>
      <c r="K422" s="149"/>
      <c r="L422" s="149"/>
      <c r="M422" s="149"/>
      <c r="N422" s="149"/>
      <c r="O422" s="149"/>
      <c r="P422" s="149"/>
      <c r="Q422" s="149"/>
      <c r="R422" s="149"/>
      <c r="S422" s="149"/>
      <c r="T422" s="149"/>
      <c r="U422" s="149"/>
      <c r="V422" s="149"/>
      <c r="W422" s="149"/>
      <c r="X422" s="149"/>
      <c r="Y422" s="149"/>
      <c r="Z422" s="149"/>
      <c r="AA422" s="149"/>
      <c r="AB422" s="149"/>
      <c r="AC422" s="149"/>
      <c r="AD422" s="149"/>
      <c r="AE422" s="149"/>
      <c r="AF422" s="149"/>
      <c r="AG422" s="149"/>
      <c r="AH422" s="149"/>
      <c r="AI422" s="149"/>
      <c r="AJ422" s="149"/>
      <c r="AK422" s="149"/>
      <c r="AL422" s="149"/>
      <c r="AM422" s="149"/>
      <c r="AN422" s="149"/>
      <c r="AO422" s="149"/>
      <c r="AP422" s="149"/>
      <c r="AQ422" s="149"/>
      <c r="AR422" s="149"/>
      <c r="AS422" s="149"/>
      <c r="AT422" s="149"/>
      <c r="AU422" s="149"/>
      <c r="AV422" s="149"/>
      <c r="AW422" s="149"/>
      <c r="AX422" s="149"/>
      <c r="AY422" s="149"/>
      <c r="AZ422" s="149"/>
      <c r="BA422" s="149"/>
      <c r="BB422" s="149"/>
      <c r="BC422" s="149"/>
      <c r="BD422" s="149"/>
      <c r="BE422" s="149"/>
      <c r="BF422" s="149"/>
      <c r="BG422" s="149"/>
      <c r="BH422" s="149"/>
      <c r="BI422" s="149"/>
      <c r="BJ422" s="149"/>
      <c r="BK422" s="149"/>
      <c r="BL422" s="149"/>
      <c r="BM422" s="149"/>
      <c r="BN422" s="149"/>
      <c r="BO422" s="149"/>
      <c r="BP422" s="149"/>
      <c r="BQ422" s="149"/>
      <c r="BR422" s="149"/>
      <c r="BS422" s="149"/>
      <c r="BT422" s="149"/>
      <c r="BU422" s="149"/>
      <c r="BV422" s="149"/>
      <c r="BW422" s="149"/>
      <c r="BX422" s="149"/>
      <c r="BY422" s="149"/>
      <c r="BZ422" s="149"/>
      <c r="CA422" s="149"/>
      <c r="CB422" s="149"/>
      <c r="CC422" s="149"/>
      <c r="CD422" s="149"/>
      <c r="CE422" s="149"/>
      <c r="CF422" s="149"/>
      <c r="CG422" s="149"/>
      <c r="CH422" s="149"/>
      <c r="CI422" s="149"/>
      <c r="CJ422" s="149"/>
      <c r="CK422" s="149"/>
      <c r="CL422" s="149"/>
      <c r="CM422" s="149"/>
      <c r="CN422" s="149"/>
      <c r="CO422" s="149"/>
      <c r="CP422" s="149"/>
      <c r="CQ422" s="149"/>
      <c r="CR422" s="149"/>
      <c r="CS422" s="149"/>
      <c r="CT422" s="149"/>
      <c r="CU422" s="149"/>
      <c r="CV422" s="149"/>
      <c r="CW422" s="149"/>
      <c r="CX422" s="149"/>
      <c r="CY422" s="149"/>
      <c r="CZ422" s="149"/>
      <c r="DA422" s="149"/>
      <c r="DB422" s="149"/>
      <c r="DC422" s="149"/>
      <c r="DD422" s="149"/>
      <c r="DE422" s="149"/>
      <c r="DF422" s="149"/>
      <c r="DG422" s="149"/>
      <c r="DH422" s="149"/>
      <c r="DI422" s="149"/>
      <c r="DJ422" s="149"/>
      <c r="DK422" s="149"/>
    </row>
    <row r="423" spans="1:115" x14ac:dyDescent="0.35">
      <c r="A423" s="149"/>
      <c r="E423" s="149"/>
      <c r="F423" s="149"/>
      <c r="G423" s="149"/>
      <c r="H423" s="149"/>
      <c r="I423" s="149"/>
      <c r="J423" s="149"/>
      <c r="K423" s="149"/>
      <c r="L423" s="149"/>
      <c r="M423" s="149"/>
      <c r="N423" s="149"/>
      <c r="O423" s="149"/>
      <c r="P423" s="149"/>
      <c r="Q423" s="149"/>
      <c r="R423" s="149"/>
      <c r="S423" s="149"/>
      <c r="T423" s="149"/>
      <c r="U423" s="149"/>
      <c r="V423" s="149"/>
      <c r="W423" s="149"/>
      <c r="X423" s="149"/>
      <c r="Y423" s="149"/>
      <c r="Z423" s="149"/>
      <c r="AA423" s="149"/>
      <c r="AB423" s="149"/>
      <c r="AC423" s="149"/>
      <c r="AD423" s="149"/>
      <c r="AE423" s="149"/>
      <c r="AF423" s="149"/>
      <c r="AG423" s="149"/>
      <c r="AH423" s="149"/>
      <c r="AI423" s="149"/>
      <c r="AJ423" s="149"/>
      <c r="AK423" s="149"/>
      <c r="AL423" s="149"/>
      <c r="AM423" s="149"/>
      <c r="AN423" s="149"/>
      <c r="AO423" s="149"/>
      <c r="AP423" s="149"/>
      <c r="AQ423" s="149"/>
      <c r="AR423" s="149"/>
      <c r="AS423" s="149"/>
      <c r="AT423" s="149"/>
      <c r="AU423" s="149"/>
      <c r="AV423" s="149"/>
      <c r="AW423" s="149"/>
      <c r="AX423" s="149"/>
      <c r="AY423" s="149"/>
      <c r="AZ423" s="149"/>
      <c r="BA423" s="149"/>
      <c r="BB423" s="149"/>
      <c r="BC423" s="149"/>
      <c r="BD423" s="149"/>
      <c r="BE423" s="149"/>
      <c r="BF423" s="149"/>
      <c r="BG423" s="149"/>
      <c r="BH423" s="149"/>
      <c r="BI423" s="149"/>
      <c r="BJ423" s="149"/>
      <c r="BK423" s="149"/>
      <c r="BL423" s="149"/>
      <c r="BM423" s="149"/>
      <c r="BN423" s="149"/>
      <c r="BO423" s="149"/>
      <c r="BP423" s="149"/>
      <c r="BQ423" s="149"/>
      <c r="BR423" s="149"/>
      <c r="BS423" s="149"/>
      <c r="BT423" s="149"/>
      <c r="BU423" s="149"/>
      <c r="BV423" s="149"/>
      <c r="BW423" s="149"/>
      <c r="BX423" s="149"/>
      <c r="BY423" s="149"/>
      <c r="BZ423" s="149"/>
      <c r="CA423" s="149"/>
      <c r="CB423" s="149"/>
      <c r="CC423" s="149"/>
      <c r="CD423" s="149"/>
      <c r="CE423" s="149"/>
      <c r="CF423" s="149"/>
      <c r="CG423" s="149"/>
      <c r="CH423" s="149"/>
      <c r="CI423" s="149"/>
      <c r="CJ423" s="149"/>
      <c r="CK423" s="149"/>
      <c r="CL423" s="149"/>
      <c r="CM423" s="149"/>
      <c r="CN423" s="149"/>
      <c r="CO423" s="149"/>
      <c r="CP423" s="149"/>
      <c r="CQ423" s="149"/>
      <c r="CR423" s="149"/>
      <c r="CS423" s="149"/>
      <c r="CT423" s="149"/>
      <c r="CU423" s="149"/>
      <c r="CV423" s="149"/>
      <c r="CW423" s="149"/>
      <c r="CX423" s="149"/>
      <c r="CY423" s="149"/>
      <c r="CZ423" s="149"/>
      <c r="DA423" s="149"/>
      <c r="DB423" s="149"/>
      <c r="DC423" s="149"/>
      <c r="DD423" s="149"/>
      <c r="DE423" s="149"/>
      <c r="DF423" s="149"/>
      <c r="DG423" s="149"/>
      <c r="DH423" s="149"/>
      <c r="DI423" s="149"/>
      <c r="DJ423" s="149"/>
      <c r="DK423" s="149"/>
    </row>
    <row r="424" spans="1:115" x14ac:dyDescent="0.35">
      <c r="A424" s="149"/>
      <c r="E424" s="149"/>
      <c r="F424" s="149"/>
      <c r="G424" s="149"/>
      <c r="H424" s="149"/>
      <c r="I424" s="149"/>
      <c r="J424" s="149"/>
      <c r="K424" s="149"/>
      <c r="L424" s="149"/>
      <c r="M424" s="149"/>
      <c r="N424" s="149"/>
      <c r="O424" s="149"/>
      <c r="P424" s="149"/>
      <c r="Q424" s="149"/>
      <c r="R424" s="149"/>
      <c r="S424" s="149"/>
      <c r="T424" s="149"/>
      <c r="U424" s="149"/>
      <c r="V424" s="149"/>
      <c r="W424" s="149"/>
      <c r="X424" s="149"/>
      <c r="Y424" s="149"/>
      <c r="Z424" s="149"/>
      <c r="AA424" s="149"/>
      <c r="AB424" s="149"/>
      <c r="AC424" s="149"/>
      <c r="AD424" s="149"/>
      <c r="AE424" s="149"/>
      <c r="AF424" s="149"/>
      <c r="AG424" s="149"/>
      <c r="AH424" s="149"/>
      <c r="AI424" s="149"/>
      <c r="AJ424" s="149"/>
      <c r="AK424" s="149"/>
      <c r="AL424" s="149"/>
      <c r="AM424" s="149"/>
      <c r="AN424" s="149"/>
      <c r="AO424" s="149"/>
      <c r="AP424" s="149"/>
      <c r="AQ424" s="149"/>
      <c r="AR424" s="149"/>
      <c r="AS424" s="149"/>
      <c r="AT424" s="149"/>
      <c r="AU424" s="149"/>
      <c r="AV424" s="149"/>
      <c r="AW424" s="149"/>
      <c r="AX424" s="149"/>
      <c r="AY424" s="149"/>
      <c r="AZ424" s="149"/>
      <c r="BA424" s="149"/>
      <c r="BB424" s="149"/>
      <c r="BC424" s="149"/>
      <c r="BD424" s="149"/>
      <c r="BE424" s="149"/>
      <c r="BF424" s="149"/>
      <c r="BG424" s="149"/>
      <c r="BH424" s="149"/>
      <c r="BI424" s="149"/>
      <c r="BJ424" s="149"/>
      <c r="BK424" s="149"/>
      <c r="BL424" s="149"/>
      <c r="BM424" s="149"/>
      <c r="BN424" s="149"/>
      <c r="BO424" s="149"/>
      <c r="BP424" s="149"/>
      <c r="BQ424" s="149"/>
      <c r="BR424" s="149"/>
      <c r="BS424" s="149"/>
      <c r="BT424" s="149"/>
      <c r="BU424" s="149"/>
      <c r="BV424" s="149"/>
      <c r="BW424" s="149"/>
      <c r="BX424" s="149"/>
      <c r="BY424" s="149"/>
      <c r="BZ424" s="149"/>
      <c r="CA424" s="149"/>
      <c r="CB424" s="149"/>
      <c r="CC424" s="149"/>
      <c r="CD424" s="149"/>
      <c r="CE424" s="149"/>
      <c r="CF424" s="149"/>
      <c r="CG424" s="149"/>
      <c r="CH424" s="149"/>
      <c r="CI424" s="149"/>
      <c r="CJ424" s="149"/>
      <c r="CK424" s="149"/>
      <c r="CL424" s="149"/>
      <c r="CM424" s="149"/>
      <c r="CN424" s="149"/>
      <c r="CO424" s="149"/>
      <c r="CP424" s="149"/>
      <c r="CQ424" s="149"/>
      <c r="CR424" s="149"/>
      <c r="CS424" s="149"/>
      <c r="CT424" s="149"/>
      <c r="CU424" s="149"/>
      <c r="CV424" s="149"/>
      <c r="CW424" s="149"/>
      <c r="CX424" s="149"/>
      <c r="CY424" s="149"/>
      <c r="CZ424" s="149"/>
      <c r="DA424" s="149"/>
      <c r="DB424" s="149"/>
      <c r="DC424" s="149"/>
      <c r="DD424" s="149"/>
      <c r="DE424" s="149"/>
      <c r="DF424" s="149"/>
      <c r="DG424" s="149"/>
      <c r="DH424" s="149"/>
      <c r="DI424" s="149"/>
      <c r="DJ424" s="149"/>
      <c r="DK424" s="149"/>
    </row>
    <row r="425" spans="1:115" x14ac:dyDescent="0.35">
      <c r="A425" s="149"/>
      <c r="E425" s="149"/>
      <c r="F425" s="149"/>
      <c r="G425" s="149"/>
      <c r="H425" s="149"/>
      <c r="I425" s="149"/>
      <c r="J425" s="149"/>
      <c r="K425" s="149"/>
      <c r="L425" s="149"/>
      <c r="M425" s="149"/>
      <c r="N425" s="149"/>
      <c r="O425" s="149"/>
      <c r="P425" s="149"/>
      <c r="Q425" s="149"/>
      <c r="R425" s="149"/>
      <c r="S425" s="149"/>
      <c r="T425" s="149"/>
      <c r="U425" s="149"/>
      <c r="V425" s="149"/>
      <c r="W425" s="149"/>
      <c r="X425" s="149"/>
      <c r="Y425" s="149"/>
      <c r="Z425" s="149"/>
      <c r="AA425" s="149"/>
      <c r="AB425" s="149"/>
      <c r="AC425" s="149"/>
      <c r="AD425" s="149"/>
      <c r="AE425" s="149"/>
      <c r="AF425" s="149"/>
      <c r="AG425" s="149"/>
      <c r="AH425" s="149"/>
      <c r="AI425" s="149"/>
      <c r="AJ425" s="149"/>
      <c r="AK425" s="149"/>
      <c r="AL425" s="149"/>
      <c r="AM425" s="149"/>
      <c r="AN425" s="149"/>
      <c r="AO425" s="149"/>
      <c r="AP425" s="149"/>
      <c r="AQ425" s="149"/>
      <c r="AR425" s="149"/>
      <c r="AS425" s="149"/>
      <c r="AT425" s="149"/>
      <c r="AU425" s="149"/>
      <c r="AV425" s="149"/>
      <c r="AW425" s="149"/>
      <c r="AX425" s="149"/>
      <c r="AY425" s="149"/>
      <c r="AZ425" s="149"/>
      <c r="BA425" s="149"/>
      <c r="BB425" s="149"/>
      <c r="BC425" s="149"/>
      <c r="BD425" s="149"/>
      <c r="BE425" s="149"/>
      <c r="BF425" s="149"/>
      <c r="BG425" s="149"/>
      <c r="BH425" s="149"/>
      <c r="BI425" s="149"/>
      <c r="BJ425" s="149"/>
      <c r="BK425" s="149"/>
      <c r="BL425" s="149"/>
      <c r="BM425" s="149"/>
      <c r="BN425" s="149"/>
      <c r="BO425" s="149"/>
      <c r="BP425" s="149"/>
      <c r="BQ425" s="149"/>
      <c r="BR425" s="149"/>
      <c r="BS425" s="149"/>
      <c r="BT425" s="149"/>
      <c r="BU425" s="149"/>
      <c r="BV425" s="149"/>
      <c r="BW425" s="149"/>
      <c r="BX425" s="149"/>
      <c r="BY425" s="149"/>
      <c r="BZ425" s="149"/>
      <c r="CA425" s="149"/>
      <c r="CB425" s="149"/>
      <c r="CC425" s="149"/>
      <c r="CD425" s="149"/>
      <c r="CE425" s="149"/>
      <c r="CF425" s="149"/>
      <c r="CG425" s="149"/>
      <c r="CH425" s="149"/>
      <c r="CI425" s="149"/>
      <c r="CJ425" s="149"/>
      <c r="CK425" s="149"/>
      <c r="CL425" s="149"/>
      <c r="CM425" s="149"/>
      <c r="CN425" s="149"/>
      <c r="CO425" s="149"/>
      <c r="CP425" s="149"/>
      <c r="CQ425" s="149"/>
      <c r="CR425" s="149"/>
      <c r="CS425" s="149"/>
      <c r="CT425" s="149"/>
      <c r="CU425" s="149"/>
      <c r="CV425" s="149"/>
      <c r="CW425" s="149"/>
      <c r="CX425" s="149"/>
      <c r="CY425" s="149"/>
      <c r="CZ425" s="149"/>
      <c r="DA425" s="149"/>
      <c r="DB425" s="149"/>
      <c r="DC425" s="149"/>
      <c r="DD425" s="149"/>
      <c r="DE425" s="149"/>
      <c r="DF425" s="149"/>
      <c r="DG425" s="149"/>
      <c r="DH425" s="149"/>
      <c r="DI425" s="149"/>
      <c r="DJ425" s="149"/>
      <c r="DK425" s="149"/>
    </row>
    <row r="426" spans="1:115" x14ac:dyDescent="0.35">
      <c r="A426" s="149"/>
      <c r="E426" s="149"/>
      <c r="F426" s="149"/>
      <c r="G426" s="149"/>
      <c r="H426" s="149"/>
      <c r="I426" s="149"/>
      <c r="J426" s="149"/>
      <c r="K426" s="149"/>
      <c r="L426" s="149"/>
      <c r="M426" s="149"/>
      <c r="N426" s="149"/>
      <c r="O426" s="149"/>
      <c r="P426" s="149"/>
      <c r="Q426" s="149"/>
      <c r="R426" s="149"/>
      <c r="S426" s="149"/>
      <c r="T426" s="149"/>
      <c r="U426" s="149"/>
      <c r="V426" s="149"/>
      <c r="W426" s="149"/>
      <c r="X426" s="149"/>
      <c r="Y426" s="149"/>
      <c r="Z426" s="149"/>
      <c r="AA426" s="149"/>
      <c r="AB426" s="149"/>
      <c r="AC426" s="149"/>
      <c r="AD426" s="149"/>
      <c r="AE426" s="149"/>
      <c r="AF426" s="149"/>
      <c r="AG426" s="149"/>
      <c r="AH426" s="149"/>
      <c r="AI426" s="149"/>
      <c r="AJ426" s="149"/>
      <c r="AK426" s="149"/>
      <c r="AL426" s="149"/>
      <c r="AM426" s="149"/>
      <c r="AN426" s="149"/>
      <c r="AO426" s="149"/>
      <c r="AP426" s="149"/>
      <c r="AQ426" s="149"/>
      <c r="AR426" s="149"/>
      <c r="AS426" s="149"/>
      <c r="AT426" s="149"/>
      <c r="AU426" s="149"/>
      <c r="AV426" s="149"/>
      <c r="AW426" s="149"/>
      <c r="AX426" s="149"/>
      <c r="AY426" s="149"/>
      <c r="AZ426" s="149"/>
      <c r="BA426" s="149"/>
      <c r="BB426" s="149"/>
      <c r="BC426" s="149"/>
      <c r="BD426" s="149"/>
      <c r="BE426" s="149"/>
      <c r="BF426" s="149"/>
      <c r="BG426" s="149"/>
      <c r="BH426" s="149"/>
      <c r="BI426" s="149"/>
      <c r="BJ426" s="149"/>
      <c r="BK426" s="149"/>
      <c r="BL426" s="149"/>
      <c r="BM426" s="149"/>
      <c r="BN426" s="149"/>
      <c r="BO426" s="149"/>
      <c r="BP426" s="149"/>
      <c r="BQ426" s="149"/>
      <c r="BR426" s="149"/>
      <c r="BS426" s="149"/>
      <c r="BT426" s="149"/>
      <c r="BU426" s="149"/>
      <c r="BV426" s="149"/>
      <c r="BW426" s="149"/>
      <c r="BX426" s="149"/>
      <c r="BY426" s="149"/>
      <c r="BZ426" s="149"/>
      <c r="CA426" s="149"/>
      <c r="CB426" s="149"/>
      <c r="CC426" s="149"/>
      <c r="CD426" s="149"/>
      <c r="CE426" s="149"/>
      <c r="CF426" s="149"/>
      <c r="CG426" s="149"/>
      <c r="CH426" s="149"/>
      <c r="CI426" s="149"/>
      <c r="CJ426" s="149"/>
      <c r="CK426" s="149"/>
      <c r="CL426" s="149"/>
      <c r="CM426" s="149"/>
      <c r="CN426" s="149"/>
      <c r="CO426" s="149"/>
      <c r="CP426" s="149"/>
      <c r="CQ426" s="149"/>
      <c r="CR426" s="149"/>
      <c r="CS426" s="149"/>
      <c r="CT426" s="149"/>
      <c r="CU426" s="149"/>
      <c r="CV426" s="149"/>
      <c r="CW426" s="149"/>
      <c r="CX426" s="149"/>
      <c r="CY426" s="149"/>
      <c r="CZ426" s="149"/>
      <c r="DA426" s="149"/>
      <c r="DB426" s="149"/>
      <c r="DC426" s="149"/>
      <c r="DD426" s="149"/>
      <c r="DE426" s="149"/>
      <c r="DF426" s="149"/>
      <c r="DG426" s="149"/>
      <c r="DH426" s="149"/>
      <c r="DI426" s="149"/>
      <c r="DJ426" s="149"/>
      <c r="DK426" s="149"/>
    </row>
    <row r="427" spans="1:115" x14ac:dyDescent="0.35">
      <c r="A427" s="149"/>
      <c r="E427" s="149"/>
      <c r="F427" s="149"/>
      <c r="G427" s="149"/>
      <c r="H427" s="149"/>
      <c r="I427" s="149"/>
      <c r="J427" s="149"/>
      <c r="K427" s="149"/>
      <c r="L427" s="149"/>
      <c r="M427" s="149"/>
      <c r="N427" s="149"/>
      <c r="O427" s="149"/>
      <c r="P427" s="149"/>
      <c r="Q427" s="149"/>
      <c r="R427" s="149"/>
      <c r="S427" s="149"/>
      <c r="T427" s="149"/>
      <c r="U427" s="149"/>
      <c r="V427" s="149"/>
      <c r="W427" s="149"/>
      <c r="X427" s="149"/>
      <c r="Y427" s="149"/>
      <c r="Z427" s="149"/>
      <c r="AA427" s="149"/>
      <c r="AB427" s="149"/>
      <c r="AC427" s="149"/>
      <c r="AD427" s="149"/>
      <c r="AE427" s="149"/>
      <c r="AF427" s="149"/>
      <c r="AG427" s="149"/>
      <c r="AH427" s="149"/>
      <c r="AI427" s="149"/>
      <c r="AJ427" s="149"/>
      <c r="AK427" s="149"/>
      <c r="AL427" s="149"/>
      <c r="AM427" s="149"/>
      <c r="AN427" s="149"/>
      <c r="AO427" s="149"/>
      <c r="AP427" s="149"/>
      <c r="AQ427" s="149"/>
      <c r="AR427" s="149"/>
      <c r="AS427" s="149"/>
      <c r="AT427" s="149"/>
      <c r="AU427" s="149"/>
      <c r="AV427" s="149"/>
      <c r="AW427" s="149"/>
      <c r="AX427" s="149"/>
      <c r="AY427" s="149"/>
      <c r="AZ427" s="149"/>
      <c r="BA427" s="149"/>
      <c r="BB427" s="149"/>
      <c r="BC427" s="149"/>
      <c r="BD427" s="149"/>
      <c r="BE427" s="149"/>
      <c r="BF427" s="149"/>
      <c r="BG427" s="149"/>
      <c r="BH427" s="149"/>
      <c r="BI427" s="149"/>
      <c r="BJ427" s="149"/>
      <c r="BK427" s="149"/>
      <c r="BL427" s="149"/>
      <c r="BM427" s="149"/>
      <c r="BN427" s="149"/>
      <c r="BO427" s="149"/>
      <c r="BP427" s="149"/>
      <c r="BQ427" s="149"/>
      <c r="BR427" s="149"/>
      <c r="BS427" s="149"/>
      <c r="BT427" s="149"/>
      <c r="BU427" s="149"/>
      <c r="BV427" s="149"/>
      <c r="BW427" s="149"/>
      <c r="BX427" s="149"/>
      <c r="BY427" s="149"/>
      <c r="BZ427" s="149"/>
      <c r="CA427" s="149"/>
      <c r="CB427" s="149"/>
      <c r="CC427" s="149"/>
      <c r="CD427" s="149"/>
      <c r="CE427" s="149"/>
      <c r="CF427" s="149"/>
      <c r="CG427" s="149"/>
      <c r="CH427" s="149"/>
      <c r="CI427" s="149"/>
      <c r="CJ427" s="149"/>
      <c r="CK427" s="149"/>
      <c r="CL427" s="149"/>
      <c r="CM427" s="149"/>
      <c r="CN427" s="149"/>
      <c r="CO427" s="149"/>
      <c r="CP427" s="149"/>
      <c r="CQ427" s="149"/>
      <c r="CR427" s="149"/>
      <c r="CS427" s="149"/>
      <c r="CT427" s="149"/>
      <c r="CU427" s="149"/>
      <c r="CV427" s="149"/>
      <c r="CW427" s="149"/>
      <c r="CX427" s="149"/>
      <c r="CY427" s="149"/>
      <c r="CZ427" s="149"/>
      <c r="DA427" s="149"/>
      <c r="DB427" s="149"/>
      <c r="DC427" s="149"/>
      <c r="DD427" s="149"/>
      <c r="DE427" s="149"/>
      <c r="DF427" s="149"/>
      <c r="DG427" s="149"/>
      <c r="DH427" s="149"/>
      <c r="DI427" s="149"/>
      <c r="DJ427" s="149"/>
      <c r="DK427" s="149"/>
    </row>
    <row r="428" spans="1:115" x14ac:dyDescent="0.35">
      <c r="A428" s="149"/>
      <c r="E428" s="149"/>
      <c r="F428" s="149"/>
      <c r="G428" s="149"/>
      <c r="H428" s="149"/>
      <c r="I428" s="149"/>
      <c r="J428" s="149"/>
      <c r="K428" s="149"/>
      <c r="L428" s="149"/>
      <c r="M428" s="149"/>
      <c r="N428" s="149"/>
      <c r="O428" s="149"/>
      <c r="P428" s="149"/>
      <c r="Q428" s="149"/>
      <c r="R428" s="149"/>
      <c r="S428" s="149"/>
      <c r="T428" s="149"/>
      <c r="U428" s="149"/>
      <c r="V428" s="149"/>
      <c r="W428" s="149"/>
      <c r="X428" s="149"/>
      <c r="Y428" s="149"/>
      <c r="Z428" s="149"/>
      <c r="AA428" s="149"/>
      <c r="AB428" s="149"/>
      <c r="AC428" s="149"/>
      <c r="AD428" s="149"/>
      <c r="AE428" s="149"/>
      <c r="AF428" s="149"/>
      <c r="AG428" s="149"/>
      <c r="AH428" s="149"/>
      <c r="AI428" s="149"/>
      <c r="AJ428" s="149"/>
      <c r="AK428" s="149"/>
      <c r="AL428" s="149"/>
      <c r="AM428" s="149"/>
      <c r="AN428" s="149"/>
      <c r="AO428" s="149"/>
      <c r="AP428" s="149"/>
      <c r="AQ428" s="149"/>
      <c r="AR428" s="149"/>
      <c r="AS428" s="149"/>
      <c r="AT428" s="149"/>
      <c r="AU428" s="149"/>
      <c r="AV428" s="149"/>
      <c r="AW428" s="149"/>
      <c r="AX428" s="149"/>
      <c r="AY428" s="149"/>
      <c r="AZ428" s="149"/>
      <c r="BA428" s="149"/>
      <c r="BB428" s="149"/>
      <c r="BC428" s="149"/>
      <c r="BD428" s="149"/>
      <c r="BE428" s="149"/>
      <c r="BF428" s="149"/>
      <c r="BG428" s="149"/>
      <c r="BH428" s="149"/>
      <c r="BI428" s="149"/>
      <c r="BJ428" s="149"/>
      <c r="BK428" s="149"/>
      <c r="BL428" s="149"/>
      <c r="BM428" s="149"/>
      <c r="BN428" s="149"/>
      <c r="BO428" s="149"/>
      <c r="BP428" s="149"/>
      <c r="BQ428" s="149"/>
      <c r="BR428" s="149"/>
      <c r="BS428" s="149"/>
      <c r="BT428" s="149"/>
      <c r="BU428" s="149"/>
      <c r="BV428" s="149"/>
      <c r="BW428" s="149"/>
      <c r="BX428" s="149"/>
      <c r="BY428" s="149"/>
      <c r="BZ428" s="149"/>
      <c r="CA428" s="149"/>
      <c r="CB428" s="149"/>
      <c r="CC428" s="149"/>
      <c r="CD428" s="149"/>
      <c r="CE428" s="149"/>
      <c r="CF428" s="149"/>
      <c r="CG428" s="149"/>
      <c r="CH428" s="149"/>
      <c r="CI428" s="149"/>
      <c r="CJ428" s="149"/>
      <c r="CK428" s="149"/>
      <c r="CL428" s="149"/>
      <c r="CM428" s="149"/>
      <c r="CN428" s="149"/>
      <c r="CO428" s="149"/>
      <c r="CP428" s="149"/>
      <c r="CQ428" s="149"/>
      <c r="CR428" s="149"/>
      <c r="CS428" s="149"/>
      <c r="CT428" s="149"/>
      <c r="CU428" s="149"/>
      <c r="CV428" s="149"/>
      <c r="CW428" s="149"/>
      <c r="CX428" s="149"/>
      <c r="CY428" s="149"/>
      <c r="CZ428" s="149"/>
      <c r="DA428" s="149"/>
      <c r="DB428" s="149"/>
      <c r="DC428" s="149"/>
      <c r="DD428" s="149"/>
      <c r="DE428" s="149"/>
      <c r="DF428" s="149"/>
      <c r="DG428" s="149"/>
      <c r="DH428" s="149"/>
      <c r="DI428" s="149"/>
      <c r="DJ428" s="149"/>
      <c r="DK428" s="149"/>
    </row>
    <row r="429" spans="1:115" x14ac:dyDescent="0.35">
      <c r="A429" s="149"/>
      <c r="E429" s="149"/>
      <c r="F429" s="149"/>
      <c r="G429" s="149"/>
      <c r="H429" s="149"/>
      <c r="I429" s="149"/>
      <c r="J429" s="149"/>
      <c r="K429" s="149"/>
      <c r="L429" s="149"/>
      <c r="M429" s="149"/>
      <c r="N429" s="149"/>
      <c r="O429" s="149"/>
      <c r="P429" s="149"/>
      <c r="Q429" s="149"/>
      <c r="R429" s="149"/>
      <c r="S429" s="149"/>
      <c r="T429" s="149"/>
      <c r="U429" s="149"/>
      <c r="V429" s="149"/>
      <c r="W429" s="149"/>
      <c r="X429" s="149"/>
      <c r="Y429" s="149"/>
      <c r="Z429" s="149"/>
      <c r="AA429" s="149"/>
      <c r="AB429" s="149"/>
      <c r="AC429" s="149"/>
      <c r="AD429" s="149"/>
      <c r="AE429" s="149"/>
      <c r="AF429" s="149"/>
      <c r="AG429" s="149"/>
      <c r="AH429" s="149"/>
      <c r="AI429" s="149"/>
      <c r="AJ429" s="149"/>
      <c r="AK429" s="149"/>
      <c r="AL429" s="149"/>
      <c r="AM429" s="149"/>
      <c r="AN429" s="149"/>
      <c r="AO429" s="149"/>
      <c r="AP429" s="149"/>
      <c r="AQ429" s="149"/>
      <c r="AR429" s="149"/>
      <c r="AS429" s="149"/>
      <c r="AT429" s="149"/>
      <c r="AU429" s="149"/>
      <c r="AV429" s="149"/>
      <c r="AW429" s="149"/>
      <c r="AX429" s="149"/>
      <c r="AY429" s="149"/>
      <c r="AZ429" s="149"/>
      <c r="BA429" s="149"/>
      <c r="BB429" s="149"/>
      <c r="BC429" s="149"/>
      <c r="BD429" s="149"/>
      <c r="BE429" s="149"/>
      <c r="BF429" s="149"/>
      <c r="BG429" s="149"/>
      <c r="BH429" s="149"/>
      <c r="BI429" s="149"/>
      <c r="BJ429" s="149"/>
      <c r="BK429" s="149"/>
      <c r="BL429" s="149"/>
      <c r="BM429" s="149"/>
      <c r="BN429" s="149"/>
      <c r="BO429" s="149"/>
      <c r="BP429" s="149"/>
      <c r="BQ429" s="149"/>
      <c r="BR429" s="149"/>
      <c r="BS429" s="149"/>
      <c r="BT429" s="149"/>
      <c r="BU429" s="149"/>
      <c r="BV429" s="149"/>
      <c r="BW429" s="149"/>
      <c r="BX429" s="149"/>
      <c r="BY429" s="149"/>
      <c r="BZ429" s="149"/>
      <c r="CA429" s="149"/>
      <c r="CB429" s="149"/>
      <c r="CC429" s="149"/>
      <c r="CD429" s="149"/>
      <c r="CE429" s="149"/>
      <c r="CF429" s="149"/>
      <c r="CG429" s="149"/>
      <c r="CH429" s="149"/>
      <c r="CI429" s="149"/>
      <c r="CJ429" s="149"/>
      <c r="CK429" s="149"/>
      <c r="CL429" s="149"/>
      <c r="CM429" s="149"/>
      <c r="CN429" s="149"/>
      <c r="CO429" s="149"/>
      <c r="CP429" s="149"/>
      <c r="CQ429" s="149"/>
      <c r="CR429" s="149"/>
      <c r="CS429" s="149"/>
      <c r="CT429" s="149"/>
      <c r="CU429" s="149"/>
      <c r="CV429" s="149"/>
      <c r="CW429" s="149"/>
      <c r="CX429" s="149"/>
      <c r="CY429" s="149"/>
      <c r="CZ429" s="149"/>
      <c r="DA429" s="149"/>
      <c r="DB429" s="149"/>
      <c r="DC429" s="149"/>
      <c r="DD429" s="149"/>
      <c r="DE429" s="149"/>
      <c r="DF429" s="149"/>
      <c r="DG429" s="149"/>
      <c r="DH429" s="149"/>
      <c r="DI429" s="149"/>
      <c r="DJ429" s="149"/>
      <c r="DK429" s="149"/>
    </row>
    <row r="430" spans="1:115" x14ac:dyDescent="0.35">
      <c r="A430" s="149"/>
      <c r="E430" s="149"/>
      <c r="F430" s="149"/>
      <c r="G430" s="149"/>
      <c r="H430" s="149"/>
      <c r="I430" s="149"/>
      <c r="J430" s="149"/>
      <c r="K430" s="149"/>
      <c r="L430" s="149"/>
      <c r="M430" s="149"/>
      <c r="N430" s="149"/>
      <c r="O430" s="149"/>
      <c r="P430" s="149"/>
      <c r="Q430" s="149"/>
      <c r="R430" s="149"/>
      <c r="S430" s="149"/>
      <c r="T430" s="149"/>
      <c r="U430" s="149"/>
      <c r="V430" s="149"/>
      <c r="W430" s="149"/>
      <c r="X430" s="149"/>
      <c r="Y430" s="149"/>
      <c r="Z430" s="149"/>
      <c r="AA430" s="149"/>
      <c r="AB430" s="149"/>
      <c r="AC430" s="149"/>
      <c r="AD430" s="149"/>
      <c r="AE430" s="149"/>
      <c r="AF430" s="149"/>
      <c r="AG430" s="149"/>
      <c r="AH430" s="149"/>
      <c r="AI430" s="149"/>
      <c r="AJ430" s="149"/>
      <c r="AK430" s="149"/>
      <c r="AL430" s="149"/>
      <c r="AM430" s="149"/>
      <c r="AN430" s="149"/>
      <c r="AO430" s="149"/>
      <c r="AP430" s="149"/>
      <c r="AQ430" s="149"/>
      <c r="AR430" s="149"/>
      <c r="AS430" s="149"/>
      <c r="AT430" s="149"/>
      <c r="AU430" s="149"/>
      <c r="AV430" s="149"/>
      <c r="AW430" s="149"/>
      <c r="AX430" s="149"/>
      <c r="AY430" s="149"/>
      <c r="AZ430" s="149"/>
      <c r="BA430" s="149"/>
      <c r="BB430" s="149"/>
      <c r="BC430" s="149"/>
      <c r="BD430" s="149"/>
      <c r="BE430" s="149"/>
      <c r="BF430" s="149"/>
      <c r="BG430" s="149"/>
      <c r="BH430" s="149"/>
      <c r="BI430" s="149"/>
      <c r="BJ430" s="149"/>
      <c r="BK430" s="149"/>
      <c r="BL430" s="149"/>
      <c r="BM430" s="149"/>
      <c r="BN430" s="149"/>
      <c r="BO430" s="149"/>
      <c r="BP430" s="149"/>
      <c r="BQ430" s="149"/>
      <c r="BR430" s="149"/>
      <c r="BS430" s="149"/>
      <c r="BT430" s="149"/>
      <c r="BU430" s="149"/>
      <c r="BV430" s="149"/>
      <c r="BW430" s="149"/>
      <c r="BX430" s="149"/>
      <c r="BY430" s="149"/>
      <c r="BZ430" s="149"/>
      <c r="CA430" s="149"/>
      <c r="CB430" s="149"/>
      <c r="CC430" s="149"/>
      <c r="CD430" s="149"/>
      <c r="CE430" s="149"/>
      <c r="CF430" s="149"/>
      <c r="CG430" s="149"/>
      <c r="CH430" s="149"/>
      <c r="CI430" s="149"/>
      <c r="CJ430" s="149"/>
      <c r="CK430" s="149"/>
      <c r="CL430" s="149"/>
      <c r="CM430" s="149"/>
      <c r="CN430" s="149"/>
      <c r="CO430" s="149"/>
      <c r="CP430" s="149"/>
      <c r="CQ430" s="149"/>
      <c r="CR430" s="149"/>
      <c r="CS430" s="149"/>
      <c r="CT430" s="149"/>
      <c r="CU430" s="149"/>
      <c r="CV430" s="149"/>
      <c r="CW430" s="149"/>
      <c r="CX430" s="149"/>
      <c r="CY430" s="149"/>
      <c r="CZ430" s="149"/>
      <c r="DA430" s="149"/>
      <c r="DB430" s="149"/>
      <c r="DC430" s="149"/>
      <c r="DD430" s="149"/>
      <c r="DE430" s="149"/>
      <c r="DF430" s="149"/>
      <c r="DG430" s="149"/>
      <c r="DH430" s="149"/>
      <c r="DI430" s="149"/>
      <c r="DJ430" s="149"/>
      <c r="DK430" s="149"/>
    </row>
    <row r="431" spans="1:115" x14ac:dyDescent="0.35">
      <c r="A431" s="149"/>
      <c r="E431" s="149"/>
      <c r="F431" s="149"/>
      <c r="G431" s="149"/>
      <c r="H431" s="149"/>
      <c r="I431" s="149"/>
      <c r="J431" s="149"/>
      <c r="K431" s="149"/>
      <c r="L431" s="149"/>
      <c r="M431" s="149"/>
      <c r="N431" s="149"/>
      <c r="O431" s="149"/>
      <c r="P431" s="149"/>
      <c r="Q431" s="149"/>
      <c r="R431" s="149"/>
      <c r="S431" s="149"/>
      <c r="T431" s="149"/>
      <c r="U431" s="149"/>
      <c r="V431" s="149"/>
      <c r="W431" s="149"/>
      <c r="X431" s="149"/>
      <c r="Y431" s="149"/>
      <c r="Z431" s="149"/>
      <c r="AA431" s="149"/>
      <c r="AB431" s="149"/>
      <c r="AC431" s="149"/>
      <c r="AD431" s="149"/>
      <c r="AE431" s="149"/>
      <c r="AF431" s="149"/>
      <c r="AG431" s="149"/>
      <c r="AH431" s="149"/>
      <c r="AI431" s="149"/>
      <c r="AJ431" s="149"/>
      <c r="AK431" s="149"/>
      <c r="AL431" s="149"/>
      <c r="AM431" s="149"/>
      <c r="AN431" s="149"/>
      <c r="AO431" s="149"/>
      <c r="AP431" s="149"/>
      <c r="AQ431" s="149"/>
      <c r="AR431" s="149"/>
      <c r="AS431" s="149"/>
      <c r="AT431" s="149"/>
      <c r="AU431" s="149"/>
      <c r="AV431" s="149"/>
      <c r="AW431" s="149"/>
      <c r="AX431" s="149"/>
      <c r="AY431" s="149"/>
      <c r="AZ431" s="149"/>
      <c r="BA431" s="149"/>
      <c r="BB431" s="149"/>
      <c r="BC431" s="149"/>
      <c r="BD431" s="149"/>
      <c r="BE431" s="149"/>
      <c r="BF431" s="149"/>
      <c r="BG431" s="149"/>
      <c r="BH431" s="149"/>
      <c r="BI431" s="149"/>
      <c r="BJ431" s="149"/>
      <c r="BK431" s="149"/>
      <c r="BL431" s="149"/>
      <c r="BM431" s="149"/>
      <c r="BN431" s="149"/>
      <c r="BO431" s="149"/>
      <c r="BP431" s="149"/>
      <c r="BQ431" s="149"/>
      <c r="BR431" s="149"/>
      <c r="BS431" s="149"/>
      <c r="BT431" s="149"/>
      <c r="BU431" s="149"/>
      <c r="BV431" s="149"/>
      <c r="BW431" s="149"/>
      <c r="BX431" s="149"/>
      <c r="BY431" s="149"/>
      <c r="BZ431" s="149"/>
      <c r="CA431" s="149"/>
      <c r="CB431" s="149"/>
      <c r="CC431" s="149"/>
      <c r="CD431" s="149"/>
      <c r="CE431" s="149"/>
      <c r="CF431" s="149"/>
      <c r="CG431" s="149"/>
      <c r="CH431" s="149"/>
      <c r="CI431" s="149"/>
      <c r="CJ431" s="149"/>
      <c r="CK431" s="149"/>
      <c r="CL431" s="149"/>
      <c r="CM431" s="149"/>
      <c r="CN431" s="149"/>
      <c r="CO431" s="149"/>
      <c r="CP431" s="149"/>
      <c r="CQ431" s="149"/>
      <c r="CR431" s="149"/>
      <c r="CS431" s="149"/>
      <c r="CT431" s="149"/>
      <c r="CU431" s="149"/>
      <c r="CV431" s="149"/>
      <c r="CW431" s="149"/>
      <c r="CX431" s="149"/>
      <c r="CY431" s="149"/>
      <c r="CZ431" s="149"/>
      <c r="DA431" s="149"/>
      <c r="DB431" s="149"/>
      <c r="DC431" s="149"/>
      <c r="DD431" s="149"/>
      <c r="DE431" s="149"/>
      <c r="DF431" s="149"/>
      <c r="DG431" s="149"/>
      <c r="DH431" s="149"/>
      <c r="DI431" s="149"/>
      <c r="DJ431" s="149"/>
      <c r="DK431" s="149"/>
    </row>
    <row r="432" spans="1:115" x14ac:dyDescent="0.35">
      <c r="A432" s="149"/>
      <c r="E432" s="149"/>
      <c r="F432" s="149"/>
      <c r="G432" s="149"/>
      <c r="H432" s="149"/>
      <c r="I432" s="149"/>
      <c r="J432" s="149"/>
      <c r="K432" s="149"/>
      <c r="L432" s="149"/>
      <c r="M432" s="149"/>
      <c r="N432" s="149"/>
      <c r="O432" s="149"/>
      <c r="P432" s="149"/>
      <c r="Q432" s="149"/>
      <c r="R432" s="149"/>
      <c r="S432" s="149"/>
      <c r="T432" s="149"/>
      <c r="U432" s="149"/>
      <c r="V432" s="149"/>
      <c r="W432" s="149"/>
      <c r="X432" s="149"/>
      <c r="Y432" s="149"/>
      <c r="Z432" s="149"/>
      <c r="AA432" s="149"/>
      <c r="AB432" s="149"/>
      <c r="AC432" s="149"/>
      <c r="AD432" s="149"/>
      <c r="AE432" s="149"/>
      <c r="AF432" s="149"/>
      <c r="AG432" s="149"/>
      <c r="AH432" s="149"/>
      <c r="AI432" s="149"/>
      <c r="AJ432" s="149"/>
      <c r="AK432" s="149"/>
      <c r="AL432" s="149"/>
      <c r="AM432" s="149"/>
      <c r="AN432" s="149"/>
      <c r="AO432" s="149"/>
      <c r="AP432" s="149"/>
      <c r="AQ432" s="149"/>
      <c r="AR432" s="149"/>
      <c r="AS432" s="149"/>
      <c r="AT432" s="149"/>
      <c r="AU432" s="149"/>
      <c r="AV432" s="149"/>
      <c r="AW432" s="149"/>
      <c r="AX432" s="149"/>
      <c r="AY432" s="149"/>
      <c r="AZ432" s="149"/>
      <c r="BA432" s="149"/>
      <c r="BB432" s="149"/>
      <c r="BC432" s="149"/>
      <c r="BD432" s="149"/>
      <c r="BE432" s="149"/>
      <c r="BF432" s="149"/>
      <c r="BG432" s="149"/>
      <c r="BH432" s="149"/>
      <c r="BI432" s="149"/>
      <c r="BJ432" s="149"/>
      <c r="BK432" s="149"/>
      <c r="BL432" s="149"/>
      <c r="BM432" s="149"/>
      <c r="BN432" s="149"/>
      <c r="BO432" s="149"/>
      <c r="BP432" s="149"/>
      <c r="BQ432" s="149"/>
      <c r="BR432" s="149"/>
      <c r="BS432" s="149"/>
      <c r="BT432" s="149"/>
      <c r="BU432" s="149"/>
      <c r="BV432" s="149"/>
      <c r="BW432" s="149"/>
      <c r="BX432" s="149"/>
      <c r="BY432" s="149"/>
      <c r="BZ432" s="149"/>
      <c r="CA432" s="149"/>
      <c r="CB432" s="149"/>
      <c r="CC432" s="149"/>
      <c r="CD432" s="149"/>
      <c r="CE432" s="149"/>
      <c r="CF432" s="149"/>
      <c r="CG432" s="149"/>
      <c r="CH432" s="149"/>
      <c r="CI432" s="149"/>
      <c r="CJ432" s="149"/>
      <c r="CK432" s="149"/>
      <c r="CL432" s="149"/>
      <c r="CM432" s="149"/>
      <c r="CN432" s="149"/>
      <c r="CO432" s="149"/>
      <c r="CP432" s="149"/>
      <c r="CQ432" s="149"/>
      <c r="CR432" s="149"/>
      <c r="CS432" s="149"/>
      <c r="CT432" s="149"/>
      <c r="CU432" s="149"/>
      <c r="CV432" s="149"/>
      <c r="CW432" s="149"/>
      <c r="CX432" s="149"/>
      <c r="CY432" s="149"/>
      <c r="CZ432" s="149"/>
      <c r="DA432" s="149"/>
      <c r="DB432" s="149"/>
      <c r="DC432" s="149"/>
      <c r="DD432" s="149"/>
      <c r="DE432" s="149"/>
      <c r="DF432" s="149"/>
      <c r="DG432" s="149"/>
      <c r="DH432" s="149"/>
      <c r="DI432" s="149"/>
      <c r="DJ432" s="149"/>
      <c r="DK432" s="149"/>
    </row>
    <row r="433" spans="1:115" x14ac:dyDescent="0.35">
      <c r="A433" s="149"/>
      <c r="E433" s="149"/>
      <c r="F433" s="149"/>
      <c r="G433" s="149"/>
      <c r="H433" s="149"/>
      <c r="I433" s="149"/>
      <c r="J433" s="149"/>
      <c r="K433" s="149"/>
      <c r="L433" s="149"/>
      <c r="M433" s="149"/>
      <c r="N433" s="149"/>
      <c r="O433" s="149"/>
      <c r="P433" s="149"/>
      <c r="Q433" s="149"/>
      <c r="R433" s="149"/>
      <c r="S433" s="149"/>
      <c r="T433" s="149"/>
      <c r="U433" s="149"/>
      <c r="V433" s="149"/>
      <c r="W433" s="149"/>
      <c r="X433" s="149"/>
      <c r="Y433" s="149"/>
      <c r="Z433" s="149"/>
      <c r="AA433" s="149"/>
      <c r="AB433" s="149"/>
      <c r="AC433" s="149"/>
      <c r="AD433" s="149"/>
      <c r="AE433" s="149"/>
      <c r="AF433" s="149"/>
      <c r="AG433" s="149"/>
      <c r="AH433" s="149"/>
      <c r="AI433" s="149"/>
      <c r="AJ433" s="149"/>
      <c r="AK433" s="149"/>
      <c r="AL433" s="149"/>
      <c r="AM433" s="149"/>
      <c r="AN433" s="149"/>
      <c r="AO433" s="149"/>
      <c r="AP433" s="149"/>
      <c r="AQ433" s="149"/>
      <c r="AR433" s="149"/>
      <c r="AS433" s="149"/>
      <c r="AT433" s="149"/>
      <c r="AU433" s="149"/>
      <c r="AV433" s="149"/>
      <c r="AW433" s="149"/>
      <c r="AX433" s="149"/>
      <c r="AY433" s="149"/>
      <c r="AZ433" s="149"/>
      <c r="BA433" s="149"/>
      <c r="BB433" s="149"/>
      <c r="BC433" s="149"/>
      <c r="BD433" s="149"/>
      <c r="BE433" s="149"/>
      <c r="BF433" s="149"/>
      <c r="BG433" s="149"/>
      <c r="BH433" s="149"/>
      <c r="BI433" s="149"/>
      <c r="BJ433" s="149"/>
      <c r="BK433" s="149"/>
      <c r="BL433" s="149"/>
      <c r="BM433" s="149"/>
      <c r="BN433" s="149"/>
      <c r="BO433" s="149"/>
      <c r="BP433" s="149"/>
      <c r="BQ433" s="149"/>
      <c r="BR433" s="149"/>
      <c r="BS433" s="149"/>
      <c r="BT433" s="149"/>
      <c r="BU433" s="149"/>
      <c r="BV433" s="149"/>
      <c r="BW433" s="149"/>
      <c r="BX433" s="149"/>
      <c r="BY433" s="149"/>
      <c r="BZ433" s="149"/>
      <c r="CA433" s="149"/>
      <c r="CB433" s="149"/>
      <c r="CC433" s="149"/>
      <c r="CD433" s="149"/>
      <c r="CE433" s="149"/>
      <c r="CF433" s="149"/>
      <c r="CG433" s="149"/>
      <c r="CH433" s="149"/>
      <c r="CI433" s="149"/>
      <c r="CJ433" s="149"/>
      <c r="CK433" s="149"/>
      <c r="CL433" s="149"/>
      <c r="CM433" s="149"/>
      <c r="CN433" s="149"/>
      <c r="CO433" s="149"/>
      <c r="CP433" s="149"/>
      <c r="CQ433" s="149"/>
      <c r="CR433" s="149"/>
      <c r="CS433" s="149"/>
      <c r="CT433" s="149"/>
      <c r="CU433" s="149"/>
      <c r="CV433" s="149"/>
      <c r="CW433" s="149"/>
      <c r="CX433" s="149"/>
      <c r="CY433" s="149"/>
      <c r="CZ433" s="149"/>
      <c r="DA433" s="149"/>
      <c r="DB433" s="149"/>
      <c r="DC433" s="149"/>
      <c r="DD433" s="149"/>
      <c r="DE433" s="149"/>
      <c r="DF433" s="149"/>
      <c r="DG433" s="149"/>
      <c r="DH433" s="149"/>
      <c r="DI433" s="149"/>
      <c r="DJ433" s="149"/>
      <c r="DK433" s="149"/>
    </row>
    <row r="434" spans="1:115" x14ac:dyDescent="0.35">
      <c r="A434" s="149"/>
      <c r="E434" s="149"/>
      <c r="F434" s="149"/>
      <c r="G434" s="149"/>
      <c r="H434" s="149"/>
      <c r="I434" s="149"/>
      <c r="J434" s="149"/>
      <c r="K434" s="149"/>
      <c r="L434" s="149"/>
      <c r="M434" s="149"/>
      <c r="N434" s="149"/>
      <c r="O434" s="149"/>
      <c r="P434" s="149"/>
      <c r="Q434" s="149"/>
      <c r="R434" s="149"/>
      <c r="S434" s="149"/>
      <c r="T434" s="149"/>
      <c r="U434" s="149"/>
      <c r="V434" s="149"/>
      <c r="W434" s="149"/>
      <c r="X434" s="149"/>
      <c r="Y434" s="149"/>
      <c r="Z434" s="149"/>
      <c r="AA434" s="149"/>
      <c r="AB434" s="149"/>
      <c r="AC434" s="149"/>
      <c r="AD434" s="149"/>
      <c r="AE434" s="149"/>
      <c r="AF434" s="149"/>
      <c r="AG434" s="149"/>
      <c r="AH434" s="149"/>
      <c r="AI434" s="149"/>
      <c r="AJ434" s="149"/>
      <c r="AK434" s="149"/>
      <c r="AL434" s="149"/>
      <c r="AM434" s="149"/>
      <c r="AN434" s="149"/>
      <c r="AO434" s="149"/>
      <c r="AP434" s="149"/>
      <c r="AQ434" s="149"/>
      <c r="AR434" s="149"/>
      <c r="AS434" s="149"/>
      <c r="AT434" s="149"/>
      <c r="AU434" s="149"/>
      <c r="AV434" s="149"/>
      <c r="AW434" s="149"/>
      <c r="AX434" s="149"/>
      <c r="AY434" s="149"/>
      <c r="AZ434" s="149"/>
      <c r="BA434" s="149"/>
      <c r="BB434" s="149"/>
      <c r="BC434" s="149"/>
      <c r="BD434" s="149"/>
      <c r="BE434" s="149"/>
      <c r="BF434" s="149"/>
      <c r="BG434" s="149"/>
      <c r="BH434" s="149"/>
      <c r="BI434" s="149"/>
      <c r="BJ434" s="149"/>
      <c r="BK434" s="149"/>
      <c r="BL434" s="149"/>
      <c r="BM434" s="149"/>
      <c r="BN434" s="149"/>
      <c r="BO434" s="149"/>
      <c r="BP434" s="149"/>
      <c r="BQ434" s="149"/>
      <c r="BR434" s="149"/>
      <c r="BS434" s="149"/>
      <c r="BT434" s="149"/>
      <c r="BU434" s="149"/>
      <c r="BV434" s="149"/>
      <c r="BW434" s="149"/>
      <c r="BX434" s="149"/>
      <c r="BY434" s="149"/>
      <c r="BZ434" s="149"/>
      <c r="CA434" s="149"/>
      <c r="CB434" s="149"/>
      <c r="CC434" s="149"/>
      <c r="CD434" s="149"/>
      <c r="CE434" s="149"/>
      <c r="CF434" s="149"/>
      <c r="CG434" s="149"/>
      <c r="CH434" s="149"/>
      <c r="CI434" s="149"/>
      <c r="CJ434" s="149"/>
      <c r="CK434" s="149"/>
      <c r="CL434" s="149"/>
      <c r="CM434" s="149"/>
      <c r="CN434" s="149"/>
      <c r="CO434" s="149"/>
      <c r="CP434" s="149"/>
      <c r="CQ434" s="149"/>
      <c r="CR434" s="149"/>
      <c r="CS434" s="149"/>
      <c r="CT434" s="149"/>
      <c r="CU434" s="149"/>
      <c r="CV434" s="149"/>
      <c r="CW434" s="149"/>
      <c r="CX434" s="149"/>
      <c r="CY434" s="149"/>
      <c r="CZ434" s="149"/>
      <c r="DA434" s="149"/>
      <c r="DB434" s="149"/>
      <c r="DC434" s="149"/>
      <c r="DD434" s="149"/>
      <c r="DE434" s="149"/>
      <c r="DF434" s="149"/>
      <c r="DG434" s="149"/>
      <c r="DH434" s="149"/>
      <c r="DI434" s="149"/>
      <c r="DJ434" s="149"/>
      <c r="DK434" s="149"/>
    </row>
    <row r="435" spans="1:115" x14ac:dyDescent="0.35">
      <c r="A435" s="149"/>
      <c r="E435" s="149"/>
      <c r="F435" s="149"/>
      <c r="G435" s="149"/>
      <c r="H435" s="149"/>
      <c r="I435" s="149"/>
      <c r="J435" s="149"/>
      <c r="K435" s="149"/>
      <c r="L435" s="149"/>
      <c r="M435" s="149"/>
      <c r="N435" s="149"/>
      <c r="O435" s="149"/>
      <c r="P435" s="149"/>
      <c r="Q435" s="149"/>
      <c r="R435" s="149"/>
      <c r="S435" s="149"/>
      <c r="T435" s="149"/>
      <c r="U435" s="149"/>
      <c r="V435" s="149"/>
      <c r="W435" s="149"/>
      <c r="X435" s="149"/>
      <c r="Y435" s="149"/>
      <c r="Z435" s="149"/>
      <c r="AA435" s="149"/>
      <c r="AB435" s="149"/>
      <c r="AC435" s="149"/>
      <c r="AD435" s="149"/>
      <c r="AE435" s="149"/>
      <c r="AF435" s="149"/>
      <c r="AG435" s="149"/>
      <c r="AH435" s="149"/>
      <c r="AI435" s="149"/>
      <c r="AJ435" s="149"/>
      <c r="AK435" s="149"/>
      <c r="AL435" s="149"/>
      <c r="AM435" s="149"/>
      <c r="AN435" s="149"/>
      <c r="AO435" s="149"/>
      <c r="AP435" s="149"/>
      <c r="AQ435" s="149"/>
      <c r="AR435" s="149"/>
      <c r="AS435" s="149"/>
      <c r="AT435" s="149"/>
      <c r="AU435" s="149"/>
      <c r="AV435" s="149"/>
      <c r="AW435" s="149"/>
      <c r="AX435" s="149"/>
      <c r="AY435" s="149"/>
      <c r="AZ435" s="149"/>
      <c r="BA435" s="149"/>
      <c r="BB435" s="149"/>
      <c r="BC435" s="149"/>
      <c r="BD435" s="149"/>
      <c r="BE435" s="149"/>
      <c r="BF435" s="149"/>
      <c r="BG435" s="149"/>
      <c r="BH435" s="149"/>
      <c r="BI435" s="149"/>
      <c r="BJ435" s="149"/>
      <c r="BK435" s="149"/>
      <c r="BL435" s="149"/>
      <c r="BM435" s="149"/>
      <c r="BN435" s="149"/>
      <c r="BO435" s="149"/>
      <c r="BP435" s="149"/>
      <c r="BQ435" s="149"/>
      <c r="BR435" s="149"/>
      <c r="BS435" s="149"/>
      <c r="BT435" s="149"/>
      <c r="BU435" s="149"/>
      <c r="BV435" s="149"/>
      <c r="BW435" s="149"/>
      <c r="BX435" s="149"/>
      <c r="BY435" s="149"/>
      <c r="BZ435" s="149"/>
      <c r="CA435" s="149"/>
      <c r="CB435" s="149"/>
      <c r="CC435" s="149"/>
      <c r="CD435" s="149"/>
      <c r="CE435" s="149"/>
      <c r="CF435" s="149"/>
      <c r="CG435" s="149"/>
      <c r="CH435" s="149"/>
      <c r="CI435" s="149"/>
      <c r="CJ435" s="149"/>
      <c r="CK435" s="149"/>
      <c r="CL435" s="149"/>
      <c r="CM435" s="149"/>
      <c r="CN435" s="149"/>
      <c r="CO435" s="149"/>
      <c r="CP435" s="149"/>
      <c r="CQ435" s="149"/>
      <c r="CR435" s="149"/>
      <c r="CS435" s="149"/>
      <c r="CT435" s="149"/>
      <c r="CU435" s="149"/>
      <c r="CV435" s="149"/>
      <c r="CW435" s="149"/>
      <c r="CX435" s="149"/>
      <c r="CY435" s="149"/>
      <c r="CZ435" s="149"/>
      <c r="DA435" s="149"/>
      <c r="DB435" s="149"/>
      <c r="DC435" s="149"/>
      <c r="DD435" s="149"/>
      <c r="DE435" s="149"/>
      <c r="DF435" s="149"/>
      <c r="DG435" s="149"/>
      <c r="DH435" s="149"/>
      <c r="DI435" s="149"/>
      <c r="DJ435" s="149"/>
      <c r="DK435" s="149"/>
    </row>
    <row r="436" spans="1:115" x14ac:dyDescent="0.35">
      <c r="A436" s="149"/>
      <c r="E436" s="149"/>
      <c r="F436" s="149"/>
      <c r="G436" s="149"/>
      <c r="H436" s="149"/>
      <c r="I436" s="149"/>
      <c r="J436" s="149"/>
      <c r="K436" s="149"/>
      <c r="L436" s="149"/>
      <c r="M436" s="149"/>
      <c r="N436" s="149"/>
      <c r="O436" s="149"/>
      <c r="P436" s="149"/>
      <c r="Q436" s="149"/>
      <c r="R436" s="149"/>
      <c r="S436" s="149"/>
      <c r="T436" s="149"/>
      <c r="U436" s="149"/>
      <c r="V436" s="149"/>
      <c r="W436" s="149"/>
      <c r="X436" s="149"/>
      <c r="Y436" s="149"/>
      <c r="Z436" s="149"/>
      <c r="AA436" s="149"/>
      <c r="AB436" s="149"/>
      <c r="AC436" s="149"/>
      <c r="AD436" s="149"/>
      <c r="AE436" s="149"/>
      <c r="AF436" s="149"/>
      <c r="AG436" s="149"/>
      <c r="AH436" s="149"/>
      <c r="AI436" s="149"/>
      <c r="AJ436" s="149"/>
      <c r="AK436" s="149"/>
      <c r="AL436" s="149"/>
      <c r="AM436" s="149"/>
      <c r="AN436" s="149"/>
      <c r="AO436" s="149"/>
      <c r="AP436" s="149"/>
      <c r="AQ436" s="149"/>
      <c r="AR436" s="149"/>
      <c r="AS436" s="149"/>
      <c r="AT436" s="149"/>
      <c r="AU436" s="149"/>
      <c r="AV436" s="149"/>
      <c r="AW436" s="149"/>
      <c r="AX436" s="149"/>
      <c r="AY436" s="149"/>
      <c r="AZ436" s="149"/>
      <c r="BA436" s="149"/>
      <c r="BB436" s="149"/>
      <c r="BC436" s="149"/>
      <c r="BD436" s="149"/>
      <c r="BE436" s="149"/>
      <c r="BF436" s="149"/>
      <c r="BG436" s="149"/>
      <c r="BH436" s="149"/>
      <c r="BI436" s="149"/>
      <c r="BJ436" s="149"/>
      <c r="BK436" s="149"/>
      <c r="BL436" s="149"/>
      <c r="BM436" s="149"/>
      <c r="BN436" s="149"/>
      <c r="BO436" s="149"/>
      <c r="BP436" s="149"/>
      <c r="BQ436" s="149"/>
      <c r="BR436" s="149"/>
      <c r="BS436" s="149"/>
      <c r="BT436" s="149"/>
      <c r="BU436" s="149"/>
      <c r="BV436" s="149"/>
      <c r="BW436" s="149"/>
      <c r="BX436" s="149"/>
      <c r="BY436" s="149"/>
      <c r="BZ436" s="149"/>
      <c r="CA436" s="149"/>
      <c r="CB436" s="149"/>
      <c r="CC436" s="149"/>
      <c r="CD436" s="149"/>
      <c r="CE436" s="149"/>
      <c r="CF436" s="149"/>
      <c r="CG436" s="149"/>
      <c r="CH436" s="149"/>
      <c r="CI436" s="149"/>
      <c r="CJ436" s="149"/>
      <c r="CK436" s="149"/>
      <c r="CL436" s="149"/>
      <c r="CM436" s="149"/>
      <c r="CN436" s="149"/>
      <c r="CO436" s="149"/>
      <c r="CP436" s="149"/>
      <c r="CQ436" s="149"/>
      <c r="CR436" s="149"/>
      <c r="CS436" s="149"/>
      <c r="CT436" s="149"/>
      <c r="CU436" s="149"/>
      <c r="CV436" s="149"/>
      <c r="CW436" s="149"/>
      <c r="CX436" s="149"/>
      <c r="CY436" s="149"/>
      <c r="CZ436" s="149"/>
      <c r="DA436" s="149"/>
      <c r="DB436" s="149"/>
      <c r="DC436" s="149"/>
      <c r="DD436" s="149"/>
      <c r="DE436" s="149"/>
      <c r="DF436" s="149"/>
      <c r="DG436" s="149"/>
      <c r="DH436" s="149"/>
      <c r="DI436" s="149"/>
      <c r="DJ436" s="149"/>
      <c r="DK436" s="149"/>
    </row>
    <row r="437" spans="1:115" x14ac:dyDescent="0.35">
      <c r="A437" s="149"/>
      <c r="E437" s="149"/>
      <c r="F437" s="149"/>
      <c r="G437" s="149"/>
      <c r="H437" s="149"/>
      <c r="I437" s="149"/>
      <c r="J437" s="149"/>
      <c r="K437" s="149"/>
      <c r="L437" s="149"/>
      <c r="M437" s="149"/>
      <c r="N437" s="149"/>
      <c r="O437" s="149"/>
      <c r="P437" s="149"/>
      <c r="Q437" s="149"/>
      <c r="R437" s="149"/>
      <c r="S437" s="149"/>
      <c r="T437" s="149"/>
      <c r="U437" s="149"/>
      <c r="V437" s="149"/>
      <c r="W437" s="149"/>
      <c r="X437" s="149"/>
      <c r="Y437" s="149"/>
      <c r="Z437" s="149"/>
      <c r="AA437" s="149"/>
      <c r="AB437" s="149"/>
      <c r="AC437" s="149"/>
      <c r="AD437" s="149"/>
      <c r="AE437" s="149"/>
      <c r="AF437" s="149"/>
      <c r="AG437" s="149"/>
      <c r="AH437" s="149"/>
      <c r="AI437" s="149"/>
      <c r="AJ437" s="149"/>
      <c r="AK437" s="149"/>
      <c r="AL437" s="149"/>
      <c r="AM437" s="149"/>
      <c r="AN437" s="149"/>
      <c r="AO437" s="149"/>
      <c r="AP437" s="149"/>
      <c r="AQ437" s="149"/>
      <c r="AR437" s="149"/>
      <c r="AS437" s="149"/>
      <c r="AT437" s="149"/>
      <c r="AU437" s="149"/>
      <c r="AV437" s="149"/>
      <c r="AW437" s="149"/>
      <c r="AX437" s="149"/>
      <c r="AY437" s="149"/>
      <c r="AZ437" s="149"/>
      <c r="BA437" s="149"/>
      <c r="BB437" s="149"/>
      <c r="BC437" s="149"/>
      <c r="BD437" s="149"/>
      <c r="BE437" s="149"/>
      <c r="BF437" s="149"/>
      <c r="BG437" s="149"/>
      <c r="BH437" s="149"/>
      <c r="BI437" s="149"/>
      <c r="BJ437" s="149"/>
      <c r="BK437" s="149"/>
      <c r="BL437" s="149"/>
      <c r="BM437" s="149"/>
      <c r="BN437" s="149"/>
      <c r="BO437" s="149"/>
      <c r="BP437" s="149"/>
      <c r="BQ437" s="149"/>
      <c r="BR437" s="149"/>
      <c r="BS437" s="149"/>
      <c r="BT437" s="149"/>
      <c r="BU437" s="149"/>
      <c r="BV437" s="149"/>
      <c r="BW437" s="149"/>
      <c r="BX437" s="149"/>
      <c r="BY437" s="149"/>
      <c r="BZ437" s="149"/>
      <c r="CA437" s="149"/>
      <c r="CB437" s="149"/>
      <c r="CC437" s="149"/>
      <c r="CD437" s="149"/>
      <c r="CE437" s="149"/>
      <c r="CF437" s="149"/>
      <c r="CG437" s="149"/>
      <c r="CH437" s="149"/>
      <c r="CI437" s="149"/>
      <c r="CJ437" s="149"/>
      <c r="CK437" s="149"/>
      <c r="CL437" s="149"/>
      <c r="CM437" s="149"/>
      <c r="CN437" s="149"/>
      <c r="CO437" s="149"/>
      <c r="CP437" s="149"/>
      <c r="CQ437" s="149"/>
      <c r="CR437" s="149"/>
      <c r="CS437" s="149"/>
      <c r="CT437" s="149"/>
      <c r="CU437" s="149"/>
      <c r="CV437" s="149"/>
      <c r="CW437" s="149"/>
      <c r="CX437" s="149"/>
      <c r="CY437" s="149"/>
      <c r="CZ437" s="149"/>
      <c r="DA437" s="149"/>
      <c r="DB437" s="149"/>
      <c r="DC437" s="149"/>
      <c r="DD437" s="149"/>
      <c r="DE437" s="149"/>
      <c r="DF437" s="149"/>
      <c r="DG437" s="149"/>
      <c r="DH437" s="149"/>
      <c r="DI437" s="149"/>
      <c r="DJ437" s="149"/>
      <c r="DK437" s="149"/>
    </row>
    <row r="438" spans="1:115" x14ac:dyDescent="0.35">
      <c r="A438" s="149"/>
      <c r="E438" s="149"/>
      <c r="F438" s="149"/>
      <c r="G438" s="149"/>
      <c r="H438" s="149"/>
      <c r="I438" s="149"/>
      <c r="J438" s="149"/>
      <c r="K438" s="149"/>
      <c r="L438" s="149"/>
      <c r="M438" s="149"/>
      <c r="N438" s="149"/>
      <c r="O438" s="149"/>
      <c r="P438" s="149"/>
      <c r="Q438" s="149"/>
      <c r="R438" s="149"/>
      <c r="S438" s="149"/>
      <c r="T438" s="149"/>
      <c r="U438" s="149"/>
      <c r="V438" s="149"/>
      <c r="W438" s="149"/>
      <c r="X438" s="149"/>
      <c r="Y438" s="149"/>
      <c r="Z438" s="149"/>
      <c r="AA438" s="149"/>
      <c r="AB438" s="149"/>
      <c r="AC438" s="149"/>
      <c r="AD438" s="149"/>
      <c r="AE438" s="149"/>
      <c r="AF438" s="149"/>
      <c r="AG438" s="149"/>
      <c r="AH438" s="149"/>
      <c r="AI438" s="149"/>
      <c r="AJ438" s="149"/>
      <c r="AK438" s="149"/>
      <c r="AL438" s="149"/>
      <c r="AM438" s="149"/>
      <c r="AN438" s="149"/>
      <c r="AO438" s="149"/>
      <c r="AP438" s="149"/>
      <c r="AQ438" s="149"/>
      <c r="AR438" s="149"/>
      <c r="AS438" s="149"/>
      <c r="AT438" s="149"/>
      <c r="AU438" s="149"/>
      <c r="AV438" s="149"/>
      <c r="AW438" s="149"/>
      <c r="AX438" s="149"/>
      <c r="AY438" s="149"/>
      <c r="AZ438" s="149"/>
      <c r="BA438" s="149"/>
      <c r="BB438" s="149"/>
      <c r="BC438" s="149"/>
      <c r="BD438" s="149"/>
      <c r="BE438" s="149"/>
      <c r="BF438" s="149"/>
      <c r="BG438" s="149"/>
      <c r="BH438" s="149"/>
      <c r="BI438" s="149"/>
      <c r="BJ438" s="149"/>
      <c r="BK438" s="149"/>
      <c r="BL438" s="149"/>
      <c r="BM438" s="149"/>
      <c r="BN438" s="149"/>
      <c r="BO438" s="149"/>
      <c r="BP438" s="149"/>
      <c r="BQ438" s="149"/>
      <c r="BR438" s="149"/>
      <c r="BS438" s="149"/>
      <c r="BT438" s="149"/>
      <c r="BU438" s="149"/>
      <c r="BV438" s="149"/>
      <c r="BW438" s="149"/>
      <c r="BX438" s="149"/>
      <c r="BY438" s="149"/>
      <c r="BZ438" s="149"/>
      <c r="CA438" s="149"/>
      <c r="CB438" s="149"/>
      <c r="CC438" s="149"/>
      <c r="CD438" s="149"/>
      <c r="CE438" s="149"/>
      <c r="CF438" s="149"/>
      <c r="CG438" s="149"/>
      <c r="CH438" s="149"/>
      <c r="CI438" s="149"/>
      <c r="CJ438" s="149"/>
      <c r="CK438" s="149"/>
      <c r="CL438" s="149"/>
      <c r="CM438" s="149"/>
      <c r="CN438" s="149"/>
      <c r="CO438" s="149"/>
      <c r="CP438" s="149"/>
      <c r="CQ438" s="149"/>
      <c r="CR438" s="149"/>
      <c r="CS438" s="149"/>
      <c r="CT438" s="149"/>
      <c r="CU438" s="149"/>
      <c r="CV438" s="149"/>
      <c r="CW438" s="149"/>
      <c r="CX438" s="149"/>
      <c r="CY438" s="149"/>
      <c r="CZ438" s="149"/>
      <c r="DA438" s="149"/>
      <c r="DB438" s="149"/>
      <c r="DC438" s="149"/>
      <c r="DD438" s="149"/>
      <c r="DE438" s="149"/>
      <c r="DF438" s="149"/>
      <c r="DG438" s="149"/>
      <c r="DH438" s="149"/>
      <c r="DI438" s="149"/>
      <c r="DJ438" s="149"/>
      <c r="DK438" s="149"/>
    </row>
    <row r="439" spans="1:115" x14ac:dyDescent="0.35">
      <c r="A439" s="149"/>
      <c r="E439" s="149"/>
      <c r="F439" s="149"/>
      <c r="G439" s="149"/>
      <c r="H439" s="149"/>
      <c r="I439" s="149"/>
      <c r="J439" s="149"/>
      <c r="K439" s="149"/>
      <c r="L439" s="149"/>
      <c r="M439" s="149"/>
      <c r="N439" s="149"/>
      <c r="O439" s="149"/>
      <c r="P439" s="149"/>
      <c r="Q439" s="149"/>
      <c r="R439" s="149"/>
      <c r="S439" s="149"/>
      <c r="T439" s="149"/>
      <c r="U439" s="149"/>
      <c r="V439" s="149"/>
      <c r="W439" s="149"/>
      <c r="X439" s="149"/>
      <c r="Y439" s="149"/>
      <c r="Z439" s="149"/>
      <c r="AA439" s="149"/>
      <c r="AB439" s="149"/>
      <c r="AC439" s="149"/>
      <c r="AD439" s="149"/>
      <c r="AE439" s="149"/>
      <c r="AF439" s="149"/>
      <c r="AG439" s="149"/>
      <c r="AH439" s="149"/>
      <c r="AI439" s="149"/>
      <c r="AJ439" s="149"/>
      <c r="AK439" s="149"/>
      <c r="AL439" s="149"/>
      <c r="AM439" s="149"/>
      <c r="AN439" s="149"/>
      <c r="AO439" s="149"/>
      <c r="AP439" s="149"/>
      <c r="AQ439" s="149"/>
      <c r="AR439" s="149"/>
      <c r="AS439" s="149"/>
      <c r="AT439" s="149"/>
      <c r="AU439" s="149"/>
      <c r="AV439" s="149"/>
      <c r="AW439" s="149"/>
      <c r="AX439" s="149"/>
      <c r="AY439" s="149"/>
      <c r="AZ439" s="149"/>
      <c r="BA439" s="149"/>
      <c r="BB439" s="149"/>
      <c r="BC439" s="149"/>
      <c r="BD439" s="149"/>
      <c r="BE439" s="149"/>
      <c r="BF439" s="149"/>
      <c r="BG439" s="149"/>
      <c r="BH439" s="149"/>
      <c r="BI439" s="149"/>
      <c r="BJ439" s="149"/>
      <c r="BK439" s="149"/>
      <c r="BL439" s="149"/>
      <c r="BM439" s="149"/>
      <c r="BN439" s="149"/>
      <c r="BO439" s="149"/>
      <c r="BP439" s="149"/>
      <c r="BQ439" s="149"/>
      <c r="BR439" s="149"/>
      <c r="BS439" s="149"/>
      <c r="BT439" s="149"/>
      <c r="BU439" s="149"/>
      <c r="BV439" s="149"/>
      <c r="BW439" s="149"/>
      <c r="BX439" s="149"/>
      <c r="BY439" s="149"/>
      <c r="BZ439" s="149"/>
      <c r="CA439" s="149"/>
      <c r="CB439" s="149"/>
      <c r="CC439" s="149"/>
      <c r="CD439" s="149"/>
      <c r="CE439" s="149"/>
      <c r="CF439" s="149"/>
      <c r="CG439" s="149"/>
      <c r="CH439" s="149"/>
      <c r="CI439" s="149"/>
      <c r="CJ439" s="149"/>
      <c r="CK439" s="149"/>
      <c r="CL439" s="149"/>
      <c r="CM439" s="149"/>
      <c r="CN439" s="149"/>
      <c r="CO439" s="149"/>
      <c r="CP439" s="149"/>
      <c r="CQ439" s="149"/>
      <c r="CR439" s="149"/>
      <c r="CS439" s="149"/>
      <c r="CT439" s="149"/>
      <c r="CU439" s="149"/>
      <c r="CV439" s="149"/>
      <c r="CW439" s="149"/>
      <c r="CX439" s="149"/>
      <c r="CY439" s="149"/>
      <c r="CZ439" s="149"/>
      <c r="DA439" s="149"/>
      <c r="DB439" s="149"/>
      <c r="DC439" s="149"/>
      <c r="DD439" s="149"/>
      <c r="DE439" s="149"/>
      <c r="DF439" s="149"/>
      <c r="DG439" s="149"/>
      <c r="DH439" s="149"/>
      <c r="DI439" s="149"/>
      <c r="DJ439" s="149"/>
      <c r="DK439" s="149"/>
    </row>
    <row r="440" spans="1:115" x14ac:dyDescent="0.35">
      <c r="A440" s="149"/>
      <c r="E440" s="149"/>
      <c r="F440" s="149"/>
      <c r="G440" s="149"/>
      <c r="H440" s="149"/>
      <c r="I440" s="149"/>
      <c r="J440" s="149"/>
      <c r="K440" s="149"/>
      <c r="L440" s="149"/>
      <c r="M440" s="149"/>
      <c r="N440" s="149"/>
      <c r="O440" s="149"/>
      <c r="P440" s="149"/>
      <c r="Q440" s="149"/>
      <c r="R440" s="149"/>
      <c r="S440" s="149"/>
      <c r="T440" s="149"/>
      <c r="U440" s="149"/>
      <c r="V440" s="149"/>
      <c r="W440" s="149"/>
      <c r="X440" s="149"/>
      <c r="Y440" s="149"/>
      <c r="Z440" s="149"/>
      <c r="AA440" s="149"/>
      <c r="AB440" s="149"/>
      <c r="AC440" s="149"/>
      <c r="AD440" s="149"/>
      <c r="AE440" s="149"/>
      <c r="AF440" s="149"/>
      <c r="AG440" s="149"/>
      <c r="AH440" s="149"/>
      <c r="AI440" s="149"/>
      <c r="AJ440" s="149"/>
      <c r="AK440" s="149"/>
      <c r="AL440" s="149"/>
      <c r="AM440" s="149"/>
      <c r="AN440" s="149"/>
      <c r="AO440" s="149"/>
      <c r="AP440" s="149"/>
      <c r="AQ440" s="149"/>
      <c r="AR440" s="149"/>
      <c r="AS440" s="149"/>
      <c r="AT440" s="149"/>
      <c r="AU440" s="149"/>
      <c r="AV440" s="149"/>
      <c r="AW440" s="149"/>
      <c r="AX440" s="149"/>
      <c r="AY440" s="149"/>
      <c r="AZ440" s="149"/>
      <c r="BA440" s="149"/>
      <c r="BB440" s="149"/>
      <c r="BC440" s="149"/>
      <c r="BD440" s="149"/>
      <c r="BE440" s="149"/>
      <c r="BF440" s="149"/>
      <c r="BG440" s="149"/>
      <c r="BH440" s="149"/>
      <c r="BI440" s="149"/>
      <c r="BJ440" s="149"/>
      <c r="BK440" s="149"/>
      <c r="BL440" s="149"/>
      <c r="BM440" s="149"/>
      <c r="BN440" s="149"/>
      <c r="BO440" s="149"/>
      <c r="BP440" s="149"/>
      <c r="BQ440" s="149"/>
      <c r="BR440" s="149"/>
      <c r="BS440" s="149"/>
      <c r="BT440" s="149"/>
      <c r="BU440" s="149"/>
      <c r="BV440" s="149"/>
      <c r="BW440" s="149"/>
      <c r="BX440" s="149"/>
      <c r="BY440" s="149"/>
      <c r="BZ440" s="149"/>
      <c r="CA440" s="149"/>
      <c r="CB440" s="149"/>
      <c r="CC440" s="149"/>
      <c r="CD440" s="149"/>
      <c r="CE440" s="149"/>
      <c r="CF440" s="149"/>
      <c r="CG440" s="149"/>
      <c r="CH440" s="149"/>
      <c r="CI440" s="149"/>
      <c r="CJ440" s="149"/>
      <c r="CK440" s="149"/>
      <c r="CL440" s="149"/>
      <c r="CM440" s="149"/>
      <c r="CN440" s="149"/>
      <c r="CO440" s="149"/>
      <c r="CP440" s="149"/>
      <c r="CQ440" s="149"/>
      <c r="CR440" s="149"/>
      <c r="CS440" s="149"/>
      <c r="CT440" s="149"/>
      <c r="CU440" s="149"/>
      <c r="CV440" s="149"/>
      <c r="CW440" s="149"/>
      <c r="CX440" s="149"/>
      <c r="CY440" s="149"/>
      <c r="CZ440" s="149"/>
      <c r="DA440" s="149"/>
      <c r="DB440" s="149"/>
      <c r="DC440" s="149"/>
      <c r="DD440" s="149"/>
      <c r="DE440" s="149"/>
      <c r="DF440" s="149"/>
      <c r="DG440" s="149"/>
      <c r="DH440" s="149"/>
      <c r="DI440" s="149"/>
      <c r="DJ440" s="149"/>
      <c r="DK440" s="149"/>
    </row>
    <row r="441" spans="1:115" x14ac:dyDescent="0.35">
      <c r="A441" s="149"/>
      <c r="E441" s="149"/>
      <c r="F441" s="149"/>
      <c r="G441" s="149"/>
      <c r="H441" s="149"/>
      <c r="I441" s="149"/>
      <c r="J441" s="149"/>
      <c r="K441" s="149"/>
      <c r="L441" s="149"/>
      <c r="M441" s="149"/>
      <c r="N441" s="149"/>
      <c r="O441" s="149"/>
      <c r="P441" s="149"/>
      <c r="Q441" s="149"/>
      <c r="R441" s="149"/>
      <c r="S441" s="149"/>
      <c r="T441" s="149"/>
      <c r="U441" s="149"/>
      <c r="V441" s="149"/>
      <c r="W441" s="149"/>
      <c r="X441" s="149"/>
      <c r="Y441" s="149"/>
      <c r="Z441" s="149"/>
      <c r="AA441" s="149"/>
      <c r="AB441" s="149"/>
      <c r="AC441" s="149"/>
      <c r="AD441" s="149"/>
      <c r="AE441" s="149"/>
      <c r="AF441" s="149"/>
      <c r="AG441" s="149"/>
      <c r="AH441" s="149"/>
      <c r="AI441" s="149"/>
      <c r="AJ441" s="149"/>
      <c r="AK441" s="149"/>
      <c r="AL441" s="149"/>
      <c r="AM441" s="149"/>
      <c r="AN441" s="149"/>
      <c r="AO441" s="149"/>
      <c r="AP441" s="149"/>
      <c r="AQ441" s="149"/>
      <c r="AR441" s="149"/>
      <c r="AS441" s="149"/>
      <c r="AT441" s="149"/>
      <c r="AU441" s="149"/>
      <c r="AV441" s="149"/>
      <c r="AW441" s="149"/>
      <c r="AX441" s="149"/>
      <c r="AY441" s="149"/>
      <c r="AZ441" s="149"/>
      <c r="BA441" s="149"/>
      <c r="BB441" s="149"/>
      <c r="BC441" s="149"/>
      <c r="BD441" s="149"/>
      <c r="BE441" s="149"/>
      <c r="BF441" s="149"/>
      <c r="BG441" s="149"/>
      <c r="BH441" s="149"/>
      <c r="BI441" s="149"/>
      <c r="BJ441" s="149"/>
      <c r="BK441" s="149"/>
      <c r="BL441" s="149"/>
      <c r="BM441" s="149"/>
      <c r="BN441" s="149"/>
      <c r="BO441" s="149"/>
      <c r="BP441" s="149"/>
      <c r="BQ441" s="149"/>
      <c r="BR441" s="149"/>
      <c r="BS441" s="149"/>
      <c r="BT441" s="149"/>
      <c r="BU441" s="149"/>
      <c r="BV441" s="149"/>
      <c r="BW441" s="149"/>
      <c r="BX441" s="149"/>
      <c r="BY441" s="149"/>
      <c r="BZ441" s="149"/>
      <c r="CA441" s="149"/>
      <c r="CB441" s="149"/>
      <c r="CC441" s="149"/>
      <c r="CD441" s="149"/>
      <c r="CE441" s="149"/>
      <c r="CF441" s="149"/>
      <c r="CG441" s="149"/>
      <c r="CH441" s="149"/>
      <c r="CI441" s="149"/>
      <c r="CJ441" s="149"/>
      <c r="CK441" s="149"/>
      <c r="CL441" s="149"/>
      <c r="CM441" s="149"/>
      <c r="CN441" s="149"/>
      <c r="CO441" s="149"/>
      <c r="CP441" s="149"/>
      <c r="CQ441" s="149"/>
      <c r="CR441" s="149"/>
      <c r="CS441" s="149"/>
      <c r="CT441" s="149"/>
      <c r="CU441" s="149"/>
      <c r="CV441" s="149"/>
      <c r="CW441" s="149"/>
      <c r="CX441" s="149"/>
      <c r="CY441" s="149"/>
      <c r="CZ441" s="149"/>
      <c r="DA441" s="149"/>
      <c r="DB441" s="149"/>
      <c r="DC441" s="149"/>
      <c r="DD441" s="149"/>
      <c r="DE441" s="149"/>
      <c r="DF441" s="149"/>
      <c r="DG441" s="149"/>
      <c r="DH441" s="149"/>
      <c r="DI441" s="149"/>
      <c r="DJ441" s="149"/>
      <c r="DK441" s="149"/>
    </row>
    <row r="442" spans="1:115" x14ac:dyDescent="0.35">
      <c r="A442" s="149"/>
      <c r="E442" s="149"/>
      <c r="F442" s="149"/>
      <c r="G442" s="149"/>
      <c r="H442" s="149"/>
      <c r="I442" s="149"/>
      <c r="J442" s="149"/>
      <c r="K442" s="149"/>
      <c r="L442" s="149"/>
      <c r="M442" s="149"/>
      <c r="N442" s="149"/>
      <c r="O442" s="149"/>
      <c r="P442" s="149"/>
      <c r="Q442" s="149"/>
      <c r="R442" s="149"/>
      <c r="S442" s="149"/>
      <c r="T442" s="149"/>
      <c r="U442" s="149"/>
      <c r="V442" s="149"/>
      <c r="W442" s="149"/>
      <c r="X442" s="149"/>
      <c r="Y442" s="149"/>
      <c r="Z442" s="149"/>
      <c r="AA442" s="149"/>
      <c r="AB442" s="149"/>
      <c r="AC442" s="149"/>
      <c r="AD442" s="149"/>
      <c r="AE442" s="149"/>
      <c r="AF442" s="149"/>
      <c r="AG442" s="149"/>
      <c r="AH442" s="149"/>
      <c r="AI442" s="149"/>
      <c r="AJ442" s="149"/>
      <c r="AK442" s="149"/>
      <c r="AL442" s="149"/>
      <c r="AM442" s="149"/>
      <c r="AN442" s="149"/>
      <c r="AO442" s="149"/>
      <c r="AP442" s="149"/>
      <c r="AQ442" s="149"/>
      <c r="AR442" s="149"/>
      <c r="AS442" s="149"/>
      <c r="AT442" s="149"/>
      <c r="AU442" s="149"/>
      <c r="AV442" s="149"/>
      <c r="AW442" s="149"/>
      <c r="AX442" s="149"/>
      <c r="AY442" s="149"/>
      <c r="AZ442" s="149"/>
      <c r="BA442" s="149"/>
      <c r="BB442" s="149"/>
      <c r="BC442" s="149"/>
      <c r="BD442" s="149"/>
      <c r="BE442" s="149"/>
      <c r="BF442" s="149"/>
      <c r="BG442" s="149"/>
      <c r="BH442" s="149"/>
      <c r="BI442" s="149"/>
      <c r="BJ442" s="149"/>
      <c r="BK442" s="149"/>
      <c r="BL442" s="149"/>
      <c r="BM442" s="149"/>
      <c r="BN442" s="149"/>
      <c r="BO442" s="149"/>
      <c r="BP442" s="149"/>
      <c r="BQ442" s="149"/>
      <c r="BR442" s="149"/>
      <c r="BS442" s="149"/>
      <c r="BT442" s="149"/>
      <c r="BU442" s="149"/>
      <c r="BV442" s="149"/>
      <c r="BW442" s="149"/>
      <c r="BX442" s="149"/>
      <c r="BY442" s="149"/>
      <c r="BZ442" s="149"/>
      <c r="CA442" s="149"/>
      <c r="CB442" s="149"/>
      <c r="CC442" s="149"/>
      <c r="CD442" s="149"/>
      <c r="CE442" s="149"/>
      <c r="CF442" s="149"/>
      <c r="CG442" s="149"/>
      <c r="CH442" s="149"/>
      <c r="CI442" s="149"/>
      <c r="CJ442" s="149"/>
      <c r="CK442" s="149"/>
      <c r="CL442" s="149"/>
      <c r="CM442" s="149"/>
      <c r="CN442" s="149"/>
      <c r="CO442" s="149"/>
      <c r="CP442" s="149"/>
      <c r="CQ442" s="149"/>
      <c r="CR442" s="149"/>
      <c r="CS442" s="149"/>
      <c r="CT442" s="149"/>
      <c r="CU442" s="149"/>
      <c r="CV442" s="149"/>
      <c r="CW442" s="149"/>
      <c r="CX442" s="149"/>
      <c r="CY442" s="149"/>
      <c r="CZ442" s="149"/>
      <c r="DA442" s="149"/>
      <c r="DB442" s="149"/>
      <c r="DC442" s="149"/>
      <c r="DD442" s="149"/>
      <c r="DE442" s="149"/>
      <c r="DF442" s="149"/>
      <c r="DG442" s="149"/>
      <c r="DH442" s="149"/>
      <c r="DI442" s="149"/>
      <c r="DJ442" s="149"/>
      <c r="DK442" s="149"/>
    </row>
    <row r="443" spans="1:115" x14ac:dyDescent="0.35">
      <c r="A443" s="149"/>
      <c r="E443" s="149"/>
      <c r="F443" s="149"/>
      <c r="G443" s="149"/>
      <c r="H443" s="149"/>
      <c r="I443" s="149"/>
      <c r="J443" s="149"/>
      <c r="K443" s="149"/>
      <c r="L443" s="149"/>
      <c r="M443" s="149"/>
      <c r="N443" s="149"/>
      <c r="O443" s="149"/>
      <c r="P443" s="149"/>
      <c r="Q443" s="149"/>
      <c r="R443" s="149"/>
      <c r="S443" s="149"/>
      <c r="T443" s="149"/>
      <c r="U443" s="149"/>
      <c r="V443" s="149"/>
      <c r="W443" s="149"/>
      <c r="X443" s="149"/>
      <c r="Y443" s="149"/>
      <c r="Z443" s="149"/>
      <c r="AA443" s="149"/>
      <c r="AB443" s="149"/>
      <c r="AC443" s="149"/>
      <c r="AD443" s="149"/>
      <c r="AE443" s="149"/>
      <c r="AF443" s="149"/>
      <c r="AG443" s="149"/>
      <c r="AH443" s="149"/>
      <c r="AI443" s="149"/>
      <c r="AJ443" s="149"/>
      <c r="AK443" s="149"/>
      <c r="AL443" s="149"/>
      <c r="AM443" s="149"/>
      <c r="AN443" s="149"/>
      <c r="AO443" s="149"/>
      <c r="AP443" s="149"/>
      <c r="AQ443" s="149"/>
      <c r="AR443" s="149"/>
      <c r="AS443" s="149"/>
      <c r="AT443" s="149"/>
      <c r="AU443" s="149"/>
      <c r="AV443" s="149"/>
      <c r="AW443" s="149"/>
      <c r="AX443" s="149"/>
      <c r="AY443" s="149"/>
      <c r="AZ443" s="149"/>
      <c r="BA443" s="149"/>
      <c r="BB443" s="149"/>
      <c r="BC443" s="149"/>
      <c r="BD443" s="149"/>
      <c r="BE443" s="149"/>
      <c r="BF443" s="149"/>
      <c r="BG443" s="149"/>
      <c r="BH443" s="149"/>
      <c r="BI443" s="149"/>
      <c r="BJ443" s="149"/>
      <c r="BK443" s="149"/>
      <c r="BL443" s="149"/>
      <c r="BM443" s="149"/>
      <c r="BN443" s="149"/>
      <c r="BO443" s="149"/>
      <c r="BP443" s="149"/>
      <c r="BQ443" s="149"/>
      <c r="BR443" s="149"/>
      <c r="BS443" s="149"/>
      <c r="BT443" s="149"/>
      <c r="BU443" s="149"/>
      <c r="BV443" s="149"/>
      <c r="BW443" s="149"/>
      <c r="BX443" s="149"/>
      <c r="BY443" s="149"/>
      <c r="BZ443" s="149"/>
      <c r="CA443" s="149"/>
      <c r="CB443" s="149"/>
      <c r="CC443" s="149"/>
      <c r="CD443" s="149"/>
      <c r="CE443" s="149"/>
      <c r="CF443" s="149"/>
      <c r="CG443" s="149"/>
      <c r="CH443" s="149"/>
      <c r="CI443" s="149"/>
      <c r="CJ443" s="149"/>
      <c r="CK443" s="149"/>
      <c r="CL443" s="149"/>
      <c r="CM443" s="149"/>
      <c r="CN443" s="149"/>
      <c r="CO443" s="149"/>
      <c r="CP443" s="149"/>
      <c r="CQ443" s="149"/>
      <c r="CR443" s="149"/>
      <c r="CS443" s="149"/>
      <c r="CT443" s="149"/>
      <c r="CU443" s="149"/>
      <c r="CV443" s="149"/>
      <c r="CW443" s="149"/>
      <c r="CX443" s="149"/>
      <c r="CY443" s="149"/>
      <c r="CZ443" s="149"/>
      <c r="DA443" s="149"/>
      <c r="DB443" s="149"/>
      <c r="DC443" s="149"/>
      <c r="DD443" s="149"/>
      <c r="DE443" s="149"/>
      <c r="DF443" s="149"/>
      <c r="DG443" s="149"/>
      <c r="DH443" s="149"/>
      <c r="DI443" s="149"/>
      <c r="DJ443" s="149"/>
      <c r="DK443" s="149"/>
    </row>
    <row r="444" spans="1:115" x14ac:dyDescent="0.35">
      <c r="A444" s="149"/>
      <c r="E444" s="149"/>
      <c r="F444" s="149"/>
      <c r="G444" s="149"/>
      <c r="H444" s="149"/>
      <c r="I444" s="149"/>
      <c r="J444" s="149"/>
      <c r="K444" s="149"/>
      <c r="L444" s="149"/>
      <c r="M444" s="149"/>
      <c r="N444" s="149"/>
      <c r="O444" s="149"/>
      <c r="P444" s="149"/>
      <c r="Q444" s="149"/>
      <c r="R444" s="149"/>
      <c r="S444" s="149"/>
      <c r="T444" s="149"/>
      <c r="U444" s="149"/>
      <c r="V444" s="149"/>
      <c r="W444" s="149"/>
      <c r="X444" s="149"/>
      <c r="Y444" s="149"/>
      <c r="Z444" s="149"/>
      <c r="AA444" s="149"/>
      <c r="AB444" s="149"/>
      <c r="AC444" s="149"/>
      <c r="AD444" s="149"/>
      <c r="AE444" s="149"/>
      <c r="AF444" s="149"/>
      <c r="AG444" s="149"/>
      <c r="AH444" s="149"/>
      <c r="AI444" s="149"/>
      <c r="AJ444" s="149"/>
      <c r="AK444" s="149"/>
      <c r="AL444" s="149"/>
      <c r="AM444" s="149"/>
      <c r="AN444" s="149"/>
      <c r="AO444" s="149"/>
      <c r="AP444" s="149"/>
      <c r="AQ444" s="149"/>
      <c r="AR444" s="149"/>
      <c r="AS444" s="149"/>
      <c r="AT444" s="149"/>
      <c r="AU444" s="149"/>
      <c r="AV444" s="149"/>
      <c r="AW444" s="149"/>
      <c r="AX444" s="149"/>
      <c r="AY444" s="149"/>
      <c r="AZ444" s="149"/>
      <c r="BA444" s="149"/>
      <c r="BB444" s="149"/>
      <c r="BC444" s="149"/>
      <c r="BD444" s="149"/>
      <c r="BE444" s="149"/>
      <c r="BF444" s="149"/>
      <c r="BG444" s="149"/>
      <c r="BH444" s="149"/>
      <c r="BI444" s="149"/>
      <c r="BJ444" s="149"/>
      <c r="BK444" s="149"/>
      <c r="BL444" s="149"/>
      <c r="BM444" s="149"/>
      <c r="BN444" s="149"/>
      <c r="BO444" s="149"/>
      <c r="BP444" s="149"/>
      <c r="BQ444" s="149"/>
      <c r="BR444" s="149"/>
      <c r="BS444" s="149"/>
      <c r="BT444" s="149"/>
      <c r="BU444" s="149"/>
      <c r="BV444" s="149"/>
      <c r="BW444" s="149"/>
      <c r="BX444" s="149"/>
      <c r="BY444" s="149"/>
      <c r="BZ444" s="149"/>
      <c r="CA444" s="149"/>
      <c r="CB444" s="149"/>
      <c r="CC444" s="149"/>
      <c r="CD444" s="149"/>
      <c r="CE444" s="149"/>
      <c r="CF444" s="149"/>
      <c r="CG444" s="149"/>
      <c r="CH444" s="149"/>
      <c r="CI444" s="149"/>
      <c r="CJ444" s="149"/>
      <c r="CK444" s="149"/>
      <c r="CL444" s="149"/>
      <c r="CM444" s="149"/>
      <c r="CN444" s="149"/>
      <c r="CO444" s="149"/>
      <c r="CP444" s="149"/>
      <c r="CQ444" s="149"/>
      <c r="CR444" s="149"/>
      <c r="CS444" s="149"/>
      <c r="CT444" s="149"/>
      <c r="CU444" s="149"/>
      <c r="CV444" s="149"/>
      <c r="CW444" s="149"/>
      <c r="CX444" s="149"/>
      <c r="CY444" s="149"/>
      <c r="CZ444" s="149"/>
      <c r="DA444" s="149"/>
      <c r="DB444" s="149"/>
      <c r="DC444" s="149"/>
      <c r="DD444" s="149"/>
      <c r="DE444" s="149"/>
      <c r="DF444" s="149"/>
      <c r="DG444" s="149"/>
      <c r="DH444" s="149"/>
      <c r="DI444" s="149"/>
      <c r="DJ444" s="149"/>
      <c r="DK444" s="149"/>
    </row>
    <row r="445" spans="1:115" x14ac:dyDescent="0.35">
      <c r="A445" s="149"/>
      <c r="E445" s="149"/>
      <c r="F445" s="149"/>
      <c r="G445" s="149"/>
      <c r="H445" s="149"/>
      <c r="I445" s="149"/>
      <c r="J445" s="149"/>
      <c r="K445" s="149"/>
      <c r="L445" s="149"/>
      <c r="M445" s="149"/>
      <c r="N445" s="149"/>
      <c r="O445" s="149"/>
      <c r="P445" s="149"/>
      <c r="Q445" s="149"/>
      <c r="R445" s="149"/>
      <c r="S445" s="149"/>
      <c r="T445" s="149"/>
      <c r="U445" s="149"/>
      <c r="V445" s="149"/>
      <c r="W445" s="149"/>
      <c r="X445" s="149"/>
      <c r="Y445" s="149"/>
      <c r="Z445" s="149"/>
      <c r="AA445" s="149"/>
      <c r="AB445" s="149"/>
      <c r="AC445" s="149"/>
      <c r="AD445" s="149"/>
      <c r="AE445" s="149"/>
      <c r="AF445" s="149"/>
      <c r="AG445" s="149"/>
      <c r="AH445" s="149"/>
      <c r="AI445" s="149"/>
      <c r="AJ445" s="149"/>
      <c r="AK445" s="149"/>
      <c r="AL445" s="149"/>
      <c r="AM445" s="149"/>
      <c r="AN445" s="149"/>
      <c r="AO445" s="149"/>
      <c r="AP445" s="149"/>
      <c r="AQ445" s="149"/>
      <c r="AR445" s="149"/>
      <c r="AS445" s="149"/>
      <c r="AT445" s="149"/>
      <c r="AU445" s="149"/>
      <c r="AV445" s="149"/>
      <c r="AW445" s="149"/>
      <c r="AX445" s="149"/>
      <c r="AY445" s="149"/>
      <c r="AZ445" s="149"/>
      <c r="BA445" s="149"/>
      <c r="BB445" s="149"/>
      <c r="BC445" s="149"/>
      <c r="BD445" s="149"/>
      <c r="BE445" s="149"/>
      <c r="BF445" s="149"/>
      <c r="BG445" s="149"/>
      <c r="BH445" s="149"/>
      <c r="BI445" s="149"/>
      <c r="BJ445" s="149"/>
      <c r="BK445" s="149"/>
      <c r="BL445" s="149"/>
      <c r="BM445" s="149"/>
      <c r="BN445" s="149"/>
      <c r="BO445" s="149"/>
      <c r="BP445" s="149"/>
      <c r="BQ445" s="149"/>
      <c r="BR445" s="149"/>
      <c r="BS445" s="149"/>
      <c r="BT445" s="149"/>
      <c r="BU445" s="149"/>
      <c r="BV445" s="149"/>
      <c r="BW445" s="149"/>
      <c r="BX445" s="149"/>
      <c r="BY445" s="149"/>
      <c r="BZ445" s="149"/>
      <c r="CA445" s="149"/>
      <c r="CB445" s="149"/>
      <c r="CC445" s="149"/>
      <c r="CD445" s="149"/>
      <c r="CE445" s="149"/>
      <c r="CF445" s="149"/>
      <c r="CG445" s="149"/>
      <c r="CH445" s="149"/>
      <c r="CI445" s="149"/>
      <c r="CJ445" s="149"/>
      <c r="CK445" s="149"/>
      <c r="CL445" s="149"/>
      <c r="CM445" s="149"/>
      <c r="CN445" s="149"/>
      <c r="CO445" s="149"/>
      <c r="CP445" s="149"/>
      <c r="CQ445" s="149"/>
      <c r="CR445" s="149"/>
      <c r="CS445" s="149"/>
      <c r="CT445" s="149"/>
      <c r="CU445" s="149"/>
      <c r="CV445" s="149"/>
      <c r="CW445" s="149"/>
      <c r="CX445" s="149"/>
      <c r="CY445" s="149"/>
      <c r="CZ445" s="149"/>
      <c r="DA445" s="149"/>
      <c r="DB445" s="149"/>
      <c r="DC445" s="149"/>
      <c r="DD445" s="149"/>
      <c r="DE445" s="149"/>
      <c r="DF445" s="149"/>
      <c r="DG445" s="149"/>
      <c r="DH445" s="149"/>
      <c r="DI445" s="149"/>
      <c r="DJ445" s="149"/>
      <c r="DK445" s="149"/>
    </row>
    <row r="446" spans="1:115" x14ac:dyDescent="0.35">
      <c r="A446" s="149"/>
      <c r="E446" s="149"/>
      <c r="F446" s="149"/>
      <c r="G446" s="149"/>
      <c r="H446" s="149"/>
      <c r="I446" s="149"/>
      <c r="J446" s="149"/>
      <c r="K446" s="149"/>
      <c r="L446" s="149"/>
      <c r="M446" s="149"/>
      <c r="N446" s="149"/>
      <c r="O446" s="149"/>
      <c r="P446" s="149"/>
      <c r="Q446" s="149"/>
      <c r="R446" s="149"/>
      <c r="S446" s="149"/>
      <c r="T446" s="149"/>
      <c r="U446" s="149"/>
      <c r="V446" s="149"/>
      <c r="W446" s="149"/>
      <c r="X446" s="149"/>
      <c r="Y446" s="149"/>
      <c r="Z446" s="149"/>
      <c r="AA446" s="149"/>
      <c r="AB446" s="149"/>
      <c r="AC446" s="149"/>
      <c r="AD446" s="149"/>
      <c r="AE446" s="149"/>
      <c r="AF446" s="149"/>
      <c r="AG446" s="149"/>
      <c r="AH446" s="149"/>
      <c r="AI446" s="149"/>
      <c r="AJ446" s="149"/>
      <c r="AK446" s="149"/>
      <c r="AL446" s="149"/>
      <c r="AM446" s="149"/>
      <c r="AN446" s="149"/>
      <c r="AO446" s="149"/>
      <c r="AP446" s="149"/>
      <c r="AQ446" s="149"/>
      <c r="AR446" s="149"/>
      <c r="AS446" s="149"/>
      <c r="AT446" s="149"/>
      <c r="AU446" s="149"/>
      <c r="AV446" s="149"/>
      <c r="AW446" s="149"/>
      <c r="AX446" s="149"/>
      <c r="AY446" s="149"/>
      <c r="AZ446" s="149"/>
      <c r="BA446" s="149"/>
      <c r="BB446" s="149"/>
      <c r="BC446" s="149"/>
      <c r="BD446" s="149"/>
      <c r="BE446" s="149"/>
      <c r="BF446" s="149"/>
      <c r="BG446" s="149"/>
      <c r="BH446" s="149"/>
      <c r="BI446" s="149"/>
      <c r="BJ446" s="149"/>
      <c r="BK446" s="149"/>
      <c r="BL446" s="149"/>
      <c r="BM446" s="149"/>
      <c r="BN446" s="149"/>
      <c r="BO446" s="149"/>
      <c r="BP446" s="149"/>
      <c r="BQ446" s="149"/>
      <c r="BR446" s="149"/>
      <c r="BS446" s="149"/>
      <c r="BT446" s="149"/>
      <c r="BU446" s="149"/>
      <c r="BV446" s="149"/>
      <c r="BW446" s="149"/>
      <c r="BX446" s="149"/>
      <c r="BY446" s="149"/>
      <c r="BZ446" s="149"/>
      <c r="CA446" s="149"/>
      <c r="CB446" s="149"/>
      <c r="CC446" s="149"/>
      <c r="CD446" s="149"/>
      <c r="CE446" s="149"/>
      <c r="CF446" s="149"/>
      <c r="CG446" s="149"/>
      <c r="CH446" s="149"/>
      <c r="CI446" s="149"/>
      <c r="CJ446" s="149"/>
      <c r="CK446" s="149"/>
      <c r="CL446" s="149"/>
      <c r="CM446" s="149"/>
      <c r="CN446" s="149"/>
      <c r="CO446" s="149"/>
      <c r="CP446" s="149"/>
      <c r="CQ446" s="149"/>
      <c r="CR446" s="149"/>
      <c r="CS446" s="149"/>
      <c r="CT446" s="149"/>
      <c r="CU446" s="149"/>
      <c r="CV446" s="149"/>
      <c r="CW446" s="149"/>
      <c r="CX446" s="149"/>
      <c r="CY446" s="149"/>
      <c r="CZ446" s="149"/>
      <c r="DA446" s="149"/>
      <c r="DB446" s="149"/>
      <c r="DC446" s="149"/>
      <c r="DD446" s="149"/>
      <c r="DE446" s="149"/>
      <c r="DF446" s="149"/>
      <c r="DG446" s="149"/>
      <c r="DH446" s="149"/>
      <c r="DI446" s="149"/>
      <c r="DJ446" s="149"/>
      <c r="DK446" s="149"/>
    </row>
    <row r="447" spans="1:115" x14ac:dyDescent="0.35">
      <c r="A447" s="149"/>
      <c r="E447" s="149"/>
      <c r="F447" s="149"/>
      <c r="G447" s="149"/>
      <c r="H447" s="149"/>
      <c r="I447" s="149"/>
      <c r="J447" s="149"/>
      <c r="K447" s="149"/>
      <c r="L447" s="149"/>
      <c r="M447" s="149"/>
      <c r="N447" s="149"/>
      <c r="O447" s="149"/>
      <c r="P447" s="149"/>
      <c r="Q447" s="149"/>
      <c r="R447" s="149"/>
      <c r="S447" s="149"/>
      <c r="T447" s="149"/>
      <c r="U447" s="149"/>
      <c r="V447" s="149"/>
      <c r="W447" s="149"/>
      <c r="X447" s="149"/>
      <c r="Y447" s="149"/>
      <c r="Z447" s="149"/>
      <c r="AA447" s="149"/>
      <c r="AB447" s="149"/>
      <c r="AC447" s="149"/>
      <c r="AD447" s="149"/>
      <c r="AE447" s="149"/>
      <c r="AF447" s="149"/>
      <c r="AG447" s="149"/>
      <c r="AH447" s="149"/>
      <c r="AI447" s="149"/>
      <c r="AJ447" s="149"/>
      <c r="AK447" s="149"/>
      <c r="AL447" s="149"/>
      <c r="AM447" s="149"/>
      <c r="AN447" s="149"/>
      <c r="AO447" s="149"/>
      <c r="AP447" s="149"/>
      <c r="AQ447" s="149"/>
      <c r="AR447" s="149"/>
      <c r="AS447" s="149"/>
      <c r="AT447" s="149"/>
      <c r="AU447" s="149"/>
      <c r="AV447" s="149"/>
      <c r="AW447" s="149"/>
      <c r="AX447" s="149"/>
      <c r="AY447" s="149"/>
      <c r="AZ447" s="149"/>
      <c r="BA447" s="149"/>
      <c r="BB447" s="149"/>
      <c r="BC447" s="149"/>
      <c r="BD447" s="149"/>
      <c r="BE447" s="149"/>
      <c r="BF447" s="149"/>
      <c r="BG447" s="149"/>
      <c r="BH447" s="149"/>
      <c r="BI447" s="149"/>
      <c r="BJ447" s="149"/>
      <c r="BK447" s="149"/>
      <c r="BL447" s="149"/>
      <c r="BM447" s="149"/>
      <c r="BN447" s="149"/>
      <c r="BO447" s="149"/>
      <c r="BP447" s="149"/>
      <c r="BQ447" s="149"/>
      <c r="BR447" s="149"/>
      <c r="BS447" s="149"/>
      <c r="BT447" s="149"/>
      <c r="BU447" s="149"/>
      <c r="BV447" s="149"/>
      <c r="BW447" s="149"/>
      <c r="BX447" s="149"/>
      <c r="BY447" s="149"/>
      <c r="BZ447" s="149"/>
      <c r="CA447" s="149"/>
      <c r="CB447" s="149"/>
      <c r="CC447" s="149"/>
      <c r="CD447" s="149"/>
      <c r="CE447" s="149"/>
      <c r="CF447" s="149"/>
      <c r="CG447" s="149"/>
      <c r="CH447" s="149"/>
      <c r="CI447" s="149"/>
      <c r="CJ447" s="149"/>
      <c r="CK447" s="149"/>
      <c r="CL447" s="149"/>
      <c r="CM447" s="149"/>
      <c r="CN447" s="149"/>
      <c r="CO447" s="149"/>
      <c r="CP447" s="149"/>
      <c r="CQ447" s="149"/>
      <c r="CR447" s="149"/>
      <c r="CS447" s="149"/>
      <c r="CT447" s="149"/>
      <c r="CU447" s="149"/>
      <c r="CV447" s="149"/>
      <c r="CW447" s="149"/>
      <c r="CX447" s="149"/>
      <c r="CY447" s="149"/>
      <c r="CZ447" s="149"/>
      <c r="DA447" s="149"/>
      <c r="DB447" s="149"/>
      <c r="DC447" s="149"/>
      <c r="DD447" s="149"/>
      <c r="DE447" s="149"/>
      <c r="DF447" s="149"/>
      <c r="DG447" s="149"/>
      <c r="DH447" s="149"/>
      <c r="DI447" s="149"/>
      <c r="DJ447" s="149"/>
      <c r="DK447" s="149"/>
    </row>
    <row r="448" spans="1:115" x14ac:dyDescent="0.35">
      <c r="A448" s="149"/>
      <c r="E448" s="149"/>
      <c r="F448" s="149"/>
      <c r="G448" s="149"/>
      <c r="H448" s="149"/>
      <c r="I448" s="149"/>
      <c r="J448" s="149"/>
      <c r="K448" s="149"/>
      <c r="L448" s="149"/>
      <c r="M448" s="149"/>
      <c r="N448" s="149"/>
      <c r="O448" s="149"/>
      <c r="P448" s="149"/>
      <c r="Q448" s="149"/>
      <c r="R448" s="149"/>
      <c r="S448" s="149"/>
      <c r="T448" s="149"/>
      <c r="U448" s="149"/>
      <c r="V448" s="149"/>
      <c r="W448" s="149"/>
      <c r="X448" s="149"/>
      <c r="Y448" s="149"/>
      <c r="Z448" s="149"/>
      <c r="AA448" s="149"/>
      <c r="AB448" s="149"/>
      <c r="AC448" s="149"/>
      <c r="AD448" s="149"/>
      <c r="AE448" s="149"/>
      <c r="AF448" s="149"/>
      <c r="AG448" s="149"/>
      <c r="AH448" s="149"/>
      <c r="AI448" s="149"/>
      <c r="AJ448" s="149"/>
      <c r="AK448" s="149"/>
      <c r="AL448" s="149"/>
      <c r="AM448" s="149"/>
      <c r="AN448" s="149"/>
      <c r="AO448" s="149"/>
      <c r="AP448" s="149"/>
      <c r="AQ448" s="149"/>
      <c r="AR448" s="149"/>
      <c r="AS448" s="149"/>
      <c r="AT448" s="149"/>
      <c r="AU448" s="149"/>
      <c r="AV448" s="149"/>
      <c r="AW448" s="149"/>
      <c r="AX448" s="149"/>
      <c r="AY448" s="149"/>
      <c r="AZ448" s="149"/>
      <c r="BA448" s="149"/>
      <c r="BB448" s="149"/>
      <c r="BC448" s="149"/>
      <c r="BD448" s="149"/>
      <c r="BE448" s="149"/>
      <c r="BF448" s="149"/>
      <c r="BG448" s="149"/>
      <c r="BH448" s="149"/>
      <c r="BI448" s="149"/>
      <c r="BJ448" s="149"/>
      <c r="BK448" s="149"/>
      <c r="BL448" s="149"/>
      <c r="BM448" s="149"/>
      <c r="BN448" s="149"/>
      <c r="BO448" s="149"/>
      <c r="BP448" s="149"/>
      <c r="BQ448" s="149"/>
      <c r="BR448" s="149"/>
      <c r="BS448" s="149"/>
      <c r="BT448" s="149"/>
      <c r="BU448" s="149"/>
      <c r="BV448" s="149"/>
      <c r="BW448" s="149"/>
      <c r="BX448" s="149"/>
      <c r="BY448" s="149"/>
      <c r="BZ448" s="149"/>
      <c r="CA448" s="149"/>
      <c r="CB448" s="149"/>
      <c r="CC448" s="149"/>
      <c r="CD448" s="149"/>
      <c r="CE448" s="149"/>
      <c r="CF448" s="149"/>
      <c r="CG448" s="149"/>
      <c r="CH448" s="149"/>
      <c r="CI448" s="149"/>
      <c r="CJ448" s="149"/>
      <c r="CK448" s="149"/>
      <c r="CL448" s="149"/>
      <c r="CM448" s="149"/>
      <c r="CN448" s="149"/>
      <c r="CO448" s="149"/>
      <c r="CP448" s="149"/>
      <c r="CQ448" s="149"/>
      <c r="CR448" s="149"/>
      <c r="CS448" s="149"/>
      <c r="CT448" s="149"/>
      <c r="CU448" s="149"/>
      <c r="CV448" s="149"/>
      <c r="CW448" s="149"/>
      <c r="CX448" s="149"/>
      <c r="CY448" s="149"/>
      <c r="CZ448" s="149"/>
      <c r="DA448" s="149"/>
      <c r="DB448" s="149"/>
      <c r="DC448" s="149"/>
      <c r="DD448" s="149"/>
      <c r="DE448" s="149"/>
      <c r="DF448" s="149"/>
      <c r="DG448" s="149"/>
      <c r="DH448" s="149"/>
      <c r="DI448" s="149"/>
      <c r="DJ448" s="149"/>
      <c r="DK448" s="149"/>
    </row>
    <row r="449" spans="1:115" x14ac:dyDescent="0.35">
      <c r="A449" s="149"/>
      <c r="E449" s="149"/>
      <c r="F449" s="149"/>
      <c r="G449" s="149"/>
      <c r="H449" s="149"/>
      <c r="I449" s="149"/>
      <c r="J449" s="149"/>
      <c r="K449" s="149"/>
      <c r="L449" s="149"/>
      <c r="M449" s="149"/>
      <c r="N449" s="149"/>
      <c r="O449" s="149"/>
      <c r="P449" s="149"/>
      <c r="Q449" s="149"/>
      <c r="R449" s="149"/>
      <c r="S449" s="149"/>
      <c r="T449" s="149"/>
      <c r="U449" s="149"/>
      <c r="V449" s="149"/>
      <c r="W449" s="149"/>
      <c r="X449" s="149"/>
      <c r="Y449" s="149"/>
      <c r="Z449" s="149"/>
      <c r="AA449" s="149"/>
      <c r="AB449" s="149"/>
      <c r="AC449" s="149"/>
      <c r="AD449" s="149"/>
      <c r="AE449" s="149"/>
      <c r="AF449" s="149"/>
      <c r="AG449" s="149"/>
      <c r="AH449" s="149"/>
      <c r="AI449" s="149"/>
      <c r="AJ449" s="149"/>
      <c r="AK449" s="149"/>
      <c r="AL449" s="149"/>
      <c r="AM449" s="149"/>
      <c r="AN449" s="149"/>
      <c r="AO449" s="149"/>
      <c r="AP449" s="149"/>
      <c r="AQ449" s="149"/>
      <c r="AR449" s="149"/>
      <c r="AS449" s="149"/>
      <c r="AT449" s="149"/>
      <c r="AU449" s="149"/>
      <c r="AV449" s="149"/>
      <c r="AW449" s="149"/>
      <c r="AX449" s="149"/>
      <c r="AY449" s="149"/>
      <c r="AZ449" s="149"/>
      <c r="BA449" s="149"/>
      <c r="BB449" s="149"/>
      <c r="BC449" s="149"/>
      <c r="BD449" s="149"/>
      <c r="BE449" s="149"/>
      <c r="BF449" s="149"/>
      <c r="BG449" s="149"/>
      <c r="BH449" s="149"/>
      <c r="BI449" s="149"/>
      <c r="BJ449" s="149"/>
      <c r="BK449" s="149"/>
      <c r="BL449" s="149"/>
      <c r="BM449" s="149"/>
      <c r="BN449" s="149"/>
      <c r="BO449" s="149"/>
      <c r="BP449" s="149"/>
      <c r="BQ449" s="149"/>
      <c r="BR449" s="149"/>
      <c r="BS449" s="149"/>
      <c r="BT449" s="149"/>
      <c r="BU449" s="149"/>
      <c r="BV449" s="149"/>
      <c r="BW449" s="149"/>
      <c r="BX449" s="149"/>
      <c r="BY449" s="149"/>
      <c r="BZ449" s="149"/>
      <c r="CA449" s="149"/>
      <c r="CB449" s="149"/>
      <c r="CC449" s="149"/>
      <c r="CD449" s="149"/>
      <c r="CE449" s="149"/>
      <c r="CF449" s="149"/>
      <c r="CG449" s="149"/>
      <c r="CH449" s="149"/>
      <c r="CI449" s="149"/>
      <c r="CJ449" s="149"/>
      <c r="CK449" s="149"/>
      <c r="CL449" s="149"/>
      <c r="CM449" s="149"/>
      <c r="CN449" s="149"/>
      <c r="CO449" s="149"/>
      <c r="CP449" s="149"/>
      <c r="CQ449" s="149"/>
      <c r="CR449" s="149"/>
      <c r="CS449" s="149"/>
      <c r="CT449" s="149"/>
      <c r="CU449" s="149"/>
      <c r="CV449" s="149"/>
      <c r="CW449" s="149"/>
      <c r="CX449" s="149"/>
      <c r="CY449" s="149"/>
      <c r="CZ449" s="149"/>
      <c r="DA449" s="149"/>
      <c r="DB449" s="149"/>
      <c r="DC449" s="149"/>
      <c r="DD449" s="149"/>
      <c r="DE449" s="149"/>
      <c r="DF449" s="149"/>
      <c r="DG449" s="149"/>
      <c r="DH449" s="149"/>
      <c r="DI449" s="149"/>
      <c r="DJ449" s="149"/>
      <c r="DK449" s="149"/>
    </row>
    <row r="450" spans="1:115" x14ac:dyDescent="0.35">
      <c r="A450" s="149"/>
      <c r="E450" s="149"/>
      <c r="F450" s="149"/>
      <c r="G450" s="149"/>
      <c r="H450" s="149"/>
      <c r="I450" s="149"/>
      <c r="J450" s="149"/>
      <c r="K450" s="149"/>
      <c r="L450" s="149"/>
      <c r="M450" s="149"/>
      <c r="N450" s="149"/>
      <c r="O450" s="149"/>
      <c r="P450" s="149"/>
      <c r="Q450" s="149"/>
      <c r="R450" s="149"/>
      <c r="S450" s="149"/>
      <c r="T450" s="149"/>
      <c r="U450" s="149"/>
      <c r="V450" s="149"/>
      <c r="W450" s="149"/>
      <c r="X450" s="149"/>
      <c r="Y450" s="149"/>
      <c r="Z450" s="149"/>
      <c r="AA450" s="149"/>
      <c r="AB450" s="149"/>
      <c r="AC450" s="149"/>
      <c r="AD450" s="149"/>
      <c r="AE450" s="149"/>
      <c r="AF450" s="149"/>
      <c r="AG450" s="149"/>
      <c r="AH450" s="149"/>
      <c r="AI450" s="149"/>
      <c r="AJ450" s="149"/>
      <c r="AK450" s="149"/>
      <c r="AL450" s="149"/>
      <c r="AM450" s="149"/>
      <c r="AN450" s="149"/>
      <c r="AO450" s="149"/>
      <c r="AP450" s="149"/>
      <c r="AQ450" s="149"/>
      <c r="AR450" s="149"/>
      <c r="AS450" s="149"/>
      <c r="AT450" s="149"/>
      <c r="AU450" s="149"/>
      <c r="AV450" s="149"/>
      <c r="AW450" s="149"/>
      <c r="AX450" s="149"/>
      <c r="AY450" s="149"/>
      <c r="AZ450" s="149"/>
      <c r="BA450" s="149"/>
      <c r="BB450" s="149"/>
      <c r="BC450" s="149"/>
      <c r="BD450" s="149"/>
      <c r="BE450" s="149"/>
      <c r="BF450" s="149"/>
      <c r="BG450" s="149"/>
      <c r="BH450" s="149"/>
      <c r="BI450" s="149"/>
      <c r="BJ450" s="149"/>
      <c r="BK450" s="149"/>
      <c r="BL450" s="149"/>
      <c r="BM450" s="149"/>
      <c r="BN450" s="149"/>
      <c r="BO450" s="149"/>
      <c r="BP450" s="149"/>
      <c r="BQ450" s="149"/>
      <c r="BR450" s="149"/>
      <c r="BS450" s="149"/>
      <c r="BT450" s="149"/>
      <c r="BU450" s="149"/>
      <c r="BV450" s="149"/>
      <c r="BW450" s="149"/>
      <c r="BX450" s="149"/>
      <c r="BY450" s="149"/>
      <c r="BZ450" s="149"/>
      <c r="CA450" s="149"/>
      <c r="CB450" s="149"/>
      <c r="CC450" s="149"/>
      <c r="CD450" s="149"/>
      <c r="CE450" s="149"/>
      <c r="CF450" s="149"/>
      <c r="CG450" s="149"/>
      <c r="CH450" s="149"/>
      <c r="CI450" s="149"/>
      <c r="CJ450" s="149"/>
      <c r="CK450" s="149"/>
      <c r="CL450" s="149"/>
      <c r="CM450" s="149"/>
      <c r="CN450" s="149"/>
      <c r="CO450" s="149"/>
      <c r="CP450" s="149"/>
      <c r="CQ450" s="149"/>
      <c r="CR450" s="149"/>
      <c r="CS450" s="149"/>
      <c r="CT450" s="149"/>
      <c r="CU450" s="149"/>
      <c r="CV450" s="149"/>
      <c r="CW450" s="149"/>
      <c r="CX450" s="149"/>
      <c r="CY450" s="149"/>
      <c r="CZ450" s="149"/>
      <c r="DA450" s="149"/>
      <c r="DB450" s="149"/>
      <c r="DC450" s="149"/>
      <c r="DD450" s="149"/>
      <c r="DE450" s="149"/>
      <c r="DF450" s="149"/>
      <c r="DG450" s="149"/>
      <c r="DH450" s="149"/>
      <c r="DI450" s="149"/>
      <c r="DJ450" s="149"/>
      <c r="DK450" s="149"/>
    </row>
    <row r="451" spans="1:115" x14ac:dyDescent="0.35">
      <c r="A451" s="149"/>
      <c r="E451" s="149"/>
      <c r="F451" s="149"/>
      <c r="G451" s="149"/>
      <c r="H451" s="149"/>
      <c r="I451" s="149"/>
      <c r="J451" s="149"/>
      <c r="K451" s="149"/>
      <c r="L451" s="149"/>
      <c r="M451" s="149"/>
      <c r="N451" s="149"/>
      <c r="O451" s="149"/>
      <c r="P451" s="149"/>
      <c r="Q451" s="149"/>
      <c r="R451" s="149"/>
      <c r="S451" s="149"/>
      <c r="T451" s="149"/>
      <c r="U451" s="149"/>
      <c r="V451" s="149"/>
      <c r="W451" s="149"/>
      <c r="X451" s="149"/>
      <c r="Y451" s="149"/>
      <c r="Z451" s="149"/>
      <c r="AA451" s="149"/>
      <c r="AB451" s="149"/>
      <c r="AC451" s="149"/>
      <c r="AD451" s="149"/>
      <c r="AE451" s="149"/>
      <c r="AF451" s="149"/>
      <c r="AG451" s="149"/>
      <c r="AH451" s="149"/>
      <c r="AI451" s="149"/>
      <c r="AJ451" s="149"/>
      <c r="AK451" s="149"/>
      <c r="AL451" s="149"/>
      <c r="AM451" s="149"/>
      <c r="AN451" s="149"/>
      <c r="AO451" s="149"/>
      <c r="AP451" s="149"/>
      <c r="AQ451" s="149"/>
      <c r="AR451" s="149"/>
      <c r="AS451" s="149"/>
      <c r="AT451" s="149"/>
      <c r="AU451" s="149"/>
      <c r="AV451" s="149"/>
      <c r="AW451" s="149"/>
      <c r="AX451" s="149"/>
      <c r="AY451" s="149"/>
      <c r="AZ451" s="149"/>
      <c r="BA451" s="149"/>
      <c r="BB451" s="149"/>
      <c r="BC451" s="149"/>
      <c r="BD451" s="149"/>
      <c r="BE451" s="149"/>
      <c r="BF451" s="149"/>
      <c r="BG451" s="149"/>
      <c r="BH451" s="149"/>
      <c r="BI451" s="149"/>
      <c r="BJ451" s="149"/>
      <c r="BK451" s="149"/>
      <c r="BL451" s="149"/>
      <c r="BM451" s="149"/>
      <c r="BN451" s="149"/>
      <c r="BO451" s="149"/>
      <c r="BP451" s="149"/>
      <c r="BQ451" s="149"/>
      <c r="BR451" s="149"/>
      <c r="BS451" s="149"/>
      <c r="BT451" s="149"/>
      <c r="BU451" s="149"/>
      <c r="BV451" s="149"/>
      <c r="BW451" s="149"/>
      <c r="BX451" s="149"/>
      <c r="BY451" s="149"/>
      <c r="BZ451" s="149"/>
      <c r="CA451" s="149"/>
      <c r="CB451" s="149"/>
      <c r="CC451" s="149"/>
      <c r="CD451" s="149"/>
      <c r="CE451" s="149"/>
      <c r="CF451" s="149"/>
      <c r="CG451" s="149"/>
      <c r="CH451" s="149"/>
      <c r="CI451" s="149"/>
      <c r="CJ451" s="149"/>
      <c r="CK451" s="149"/>
      <c r="CL451" s="149"/>
      <c r="CM451" s="149"/>
      <c r="CN451" s="149"/>
      <c r="CO451" s="149"/>
      <c r="CP451" s="149"/>
      <c r="CQ451" s="149"/>
      <c r="CR451" s="149"/>
      <c r="CS451" s="149"/>
      <c r="CT451" s="149"/>
      <c r="CU451" s="149"/>
      <c r="CV451" s="149"/>
      <c r="CW451" s="149"/>
      <c r="CX451" s="149"/>
      <c r="CY451" s="149"/>
      <c r="CZ451" s="149"/>
      <c r="DA451" s="149"/>
      <c r="DB451" s="149"/>
      <c r="DC451" s="149"/>
      <c r="DD451" s="149"/>
      <c r="DE451" s="149"/>
      <c r="DF451" s="149"/>
      <c r="DG451" s="149"/>
      <c r="DH451" s="149"/>
      <c r="DI451" s="149"/>
      <c r="DJ451" s="149"/>
      <c r="DK451" s="149"/>
    </row>
    <row r="452" spans="1:115" x14ac:dyDescent="0.35">
      <c r="A452" s="149"/>
      <c r="E452" s="149"/>
      <c r="F452" s="149"/>
      <c r="G452" s="149"/>
      <c r="H452" s="149"/>
      <c r="I452" s="149"/>
      <c r="J452" s="149"/>
      <c r="K452" s="149"/>
      <c r="L452" s="149"/>
      <c r="M452" s="149"/>
      <c r="N452" s="149"/>
      <c r="O452" s="149"/>
      <c r="P452" s="149"/>
      <c r="Q452" s="149"/>
      <c r="R452" s="149"/>
      <c r="S452" s="149"/>
      <c r="T452" s="149"/>
      <c r="U452" s="149"/>
      <c r="V452" s="149"/>
      <c r="W452" s="149"/>
      <c r="X452" s="149"/>
      <c r="Y452" s="149"/>
      <c r="Z452" s="149"/>
      <c r="AA452" s="149"/>
      <c r="AB452" s="149"/>
      <c r="AC452" s="149"/>
      <c r="AD452" s="149"/>
      <c r="AE452" s="149"/>
      <c r="AF452" s="149"/>
      <c r="AG452" s="149"/>
      <c r="AH452" s="149"/>
      <c r="AI452" s="149"/>
      <c r="AJ452" s="149"/>
      <c r="AK452" s="149"/>
      <c r="AL452" s="149"/>
      <c r="AM452" s="149"/>
      <c r="AN452" s="149"/>
      <c r="AO452" s="149"/>
      <c r="AP452" s="149"/>
      <c r="AQ452" s="149"/>
      <c r="AR452" s="149"/>
      <c r="AS452" s="149"/>
      <c r="AT452" s="149"/>
      <c r="AU452" s="149"/>
      <c r="AV452" s="149"/>
      <c r="AW452" s="149"/>
      <c r="AX452" s="149"/>
      <c r="AY452" s="149"/>
      <c r="AZ452" s="149"/>
      <c r="BA452" s="149"/>
      <c r="BB452" s="149"/>
      <c r="BC452" s="149"/>
      <c r="BD452" s="149"/>
      <c r="BE452" s="149"/>
      <c r="BF452" s="149"/>
      <c r="BG452" s="149"/>
      <c r="BH452" s="149"/>
      <c r="BI452" s="149"/>
      <c r="BJ452" s="149"/>
      <c r="BK452" s="149"/>
      <c r="BL452" s="149"/>
      <c r="BM452" s="149"/>
      <c r="BN452" s="149"/>
      <c r="BO452" s="149"/>
      <c r="BP452" s="149"/>
      <c r="BQ452" s="149"/>
      <c r="BR452" s="149"/>
      <c r="BS452" s="149"/>
      <c r="BT452" s="149"/>
      <c r="BU452" s="149"/>
      <c r="BV452" s="149"/>
      <c r="BW452" s="149"/>
      <c r="BX452" s="149"/>
      <c r="BY452" s="149"/>
      <c r="BZ452" s="149"/>
      <c r="CA452" s="149"/>
      <c r="CB452" s="149"/>
      <c r="CC452" s="149"/>
      <c r="CD452" s="149"/>
      <c r="CE452" s="149"/>
      <c r="CF452" s="149"/>
      <c r="CG452" s="149"/>
      <c r="CH452" s="149"/>
      <c r="CI452" s="149"/>
      <c r="CJ452" s="149"/>
      <c r="CK452" s="149"/>
      <c r="CL452" s="149"/>
      <c r="CM452" s="149"/>
      <c r="CN452" s="149"/>
      <c r="CO452" s="149"/>
      <c r="CP452" s="149"/>
      <c r="CQ452" s="149"/>
      <c r="CR452" s="149"/>
      <c r="CS452" s="149"/>
      <c r="CT452" s="149"/>
      <c r="CU452" s="149"/>
      <c r="CV452" s="149"/>
      <c r="CW452" s="149"/>
      <c r="CX452" s="149"/>
      <c r="CY452" s="149"/>
      <c r="CZ452" s="149"/>
      <c r="DA452" s="149"/>
      <c r="DB452" s="149"/>
      <c r="DC452" s="149"/>
      <c r="DD452" s="149"/>
      <c r="DE452" s="149"/>
      <c r="DF452" s="149"/>
      <c r="DG452" s="149"/>
      <c r="DH452" s="149"/>
      <c r="DI452" s="149"/>
      <c r="DJ452" s="149"/>
      <c r="DK452" s="149"/>
    </row>
    <row r="453" spans="1:115" x14ac:dyDescent="0.35">
      <c r="A453" s="149"/>
      <c r="E453" s="149"/>
      <c r="F453" s="149"/>
      <c r="G453" s="149"/>
      <c r="H453" s="149"/>
      <c r="I453" s="149"/>
      <c r="J453" s="149"/>
      <c r="K453" s="149"/>
      <c r="L453" s="149"/>
      <c r="M453" s="149"/>
      <c r="N453" s="149"/>
      <c r="O453" s="149"/>
      <c r="P453" s="149"/>
      <c r="Q453" s="149"/>
      <c r="R453" s="149"/>
      <c r="S453" s="149"/>
      <c r="T453" s="149"/>
      <c r="U453" s="149"/>
      <c r="V453" s="149"/>
      <c r="W453" s="149"/>
      <c r="X453" s="149"/>
      <c r="Y453" s="149"/>
      <c r="Z453" s="149"/>
      <c r="AA453" s="149"/>
      <c r="AB453" s="149"/>
      <c r="AC453" s="149"/>
      <c r="AD453" s="149"/>
      <c r="AE453" s="149"/>
      <c r="AF453" s="149"/>
      <c r="AG453" s="149"/>
      <c r="AH453" s="149"/>
      <c r="AI453" s="149"/>
      <c r="AJ453" s="149"/>
      <c r="AK453" s="149"/>
      <c r="AL453" s="149"/>
      <c r="AM453" s="149"/>
      <c r="AN453" s="149"/>
      <c r="AO453" s="149"/>
      <c r="AP453" s="149"/>
      <c r="AQ453" s="149"/>
      <c r="AR453" s="149"/>
      <c r="AS453" s="149"/>
      <c r="AT453" s="149"/>
      <c r="AU453" s="149"/>
      <c r="AV453" s="149"/>
      <c r="AW453" s="149"/>
      <c r="AX453" s="149"/>
      <c r="AY453" s="149"/>
      <c r="AZ453" s="149"/>
      <c r="BA453" s="149"/>
      <c r="BB453" s="149"/>
      <c r="BC453" s="149"/>
      <c r="BD453" s="149"/>
      <c r="BE453" s="149"/>
      <c r="BF453" s="149"/>
      <c r="BG453" s="149"/>
      <c r="BH453" s="149"/>
      <c r="BI453" s="149"/>
      <c r="BJ453" s="149"/>
      <c r="BK453" s="149"/>
      <c r="BL453" s="149"/>
      <c r="BM453" s="149"/>
      <c r="BN453" s="149"/>
      <c r="BO453" s="149"/>
      <c r="BP453" s="149"/>
      <c r="BQ453" s="149"/>
      <c r="BR453" s="149"/>
      <c r="BS453" s="149"/>
      <c r="BT453" s="149"/>
      <c r="BU453" s="149"/>
      <c r="BV453" s="149"/>
      <c r="BW453" s="149"/>
      <c r="BX453" s="149"/>
      <c r="BY453" s="149"/>
      <c r="BZ453" s="149"/>
      <c r="CA453" s="149"/>
      <c r="CB453" s="149"/>
      <c r="CC453" s="149"/>
      <c r="CD453" s="149"/>
      <c r="CE453" s="149"/>
      <c r="CF453" s="149"/>
      <c r="CG453" s="149"/>
      <c r="CH453" s="149"/>
      <c r="CI453" s="149"/>
      <c r="CJ453" s="149"/>
      <c r="CK453" s="149"/>
      <c r="CL453" s="149"/>
      <c r="CM453" s="149"/>
      <c r="CN453" s="149"/>
      <c r="CO453" s="149"/>
      <c r="CP453" s="149"/>
      <c r="CQ453" s="149"/>
      <c r="CR453" s="149"/>
      <c r="CS453" s="149"/>
      <c r="CT453" s="149"/>
      <c r="CU453" s="149"/>
      <c r="CV453" s="149"/>
      <c r="CW453" s="149"/>
      <c r="CX453" s="149"/>
      <c r="CY453" s="149"/>
      <c r="CZ453" s="149"/>
      <c r="DA453" s="149"/>
      <c r="DB453" s="149"/>
      <c r="DC453" s="149"/>
      <c r="DD453" s="149"/>
      <c r="DE453" s="149"/>
      <c r="DF453" s="149"/>
      <c r="DG453" s="149"/>
      <c r="DH453" s="149"/>
      <c r="DI453" s="149"/>
      <c r="DJ453" s="149"/>
      <c r="DK453" s="149"/>
    </row>
    <row r="454" spans="1:115" x14ac:dyDescent="0.35">
      <c r="A454" s="149"/>
      <c r="E454" s="149"/>
      <c r="F454" s="149"/>
      <c r="G454" s="149"/>
      <c r="H454" s="149"/>
      <c r="I454" s="149"/>
      <c r="J454" s="149"/>
      <c r="K454" s="149"/>
      <c r="L454" s="149"/>
      <c r="M454" s="149"/>
      <c r="N454" s="149"/>
      <c r="O454" s="149"/>
      <c r="P454" s="149"/>
      <c r="Q454" s="149"/>
      <c r="R454" s="149"/>
      <c r="S454" s="149"/>
      <c r="T454" s="149"/>
      <c r="U454" s="149"/>
      <c r="V454" s="149"/>
      <c r="W454" s="149"/>
      <c r="X454" s="149"/>
      <c r="Y454" s="149"/>
      <c r="Z454" s="149"/>
      <c r="AA454" s="149"/>
      <c r="AB454" s="149"/>
      <c r="AC454" s="149"/>
      <c r="AD454" s="149"/>
      <c r="AE454" s="149"/>
      <c r="AF454" s="149"/>
      <c r="AG454" s="149"/>
      <c r="AH454" s="149"/>
      <c r="AI454" s="149"/>
      <c r="AJ454" s="149"/>
      <c r="AK454" s="149"/>
      <c r="AL454" s="149"/>
      <c r="AM454" s="149"/>
      <c r="AN454" s="149"/>
      <c r="AO454" s="149"/>
      <c r="AP454" s="149"/>
      <c r="AQ454" s="149"/>
      <c r="AR454" s="149"/>
      <c r="AS454" s="149"/>
      <c r="AT454" s="149"/>
      <c r="AU454" s="149"/>
      <c r="AV454" s="149"/>
      <c r="AW454" s="149"/>
      <c r="AX454" s="149"/>
      <c r="AY454" s="149"/>
      <c r="AZ454" s="149"/>
      <c r="BA454" s="149"/>
      <c r="BB454" s="149"/>
      <c r="BC454" s="149"/>
      <c r="BD454" s="149"/>
      <c r="BE454" s="149"/>
      <c r="BF454" s="149"/>
      <c r="BG454" s="149"/>
      <c r="BH454" s="149"/>
      <c r="BI454" s="149"/>
      <c r="BJ454" s="149"/>
      <c r="BK454" s="149"/>
      <c r="BL454" s="149"/>
      <c r="BM454" s="149"/>
      <c r="BN454" s="149"/>
      <c r="BO454" s="149"/>
      <c r="BP454" s="149"/>
      <c r="BQ454" s="149"/>
      <c r="BR454" s="149"/>
      <c r="BS454" s="149"/>
      <c r="BT454" s="149"/>
      <c r="BU454" s="149"/>
      <c r="BV454" s="149"/>
      <c r="BW454" s="149"/>
      <c r="BX454" s="149"/>
      <c r="BY454" s="149"/>
      <c r="BZ454" s="149"/>
      <c r="CA454" s="149"/>
      <c r="CB454" s="149"/>
      <c r="CC454" s="149"/>
      <c r="CD454" s="149"/>
      <c r="CE454" s="149"/>
      <c r="CF454" s="149"/>
      <c r="CG454" s="149"/>
      <c r="CH454" s="149"/>
      <c r="CI454" s="149"/>
      <c r="CJ454" s="149"/>
      <c r="CK454" s="149"/>
      <c r="CL454" s="149"/>
      <c r="CM454" s="149"/>
      <c r="CN454" s="149"/>
      <c r="CO454" s="149"/>
      <c r="CP454" s="149"/>
      <c r="CQ454" s="149"/>
      <c r="CR454" s="149"/>
      <c r="CS454" s="149"/>
      <c r="CT454" s="149"/>
      <c r="CU454" s="149"/>
      <c r="CV454" s="149"/>
      <c r="CW454" s="149"/>
      <c r="CX454" s="149"/>
      <c r="CY454" s="149"/>
      <c r="CZ454" s="149"/>
      <c r="DA454" s="149"/>
      <c r="DB454" s="149"/>
      <c r="DC454" s="149"/>
      <c r="DD454" s="149"/>
      <c r="DE454" s="149"/>
      <c r="DF454" s="149"/>
      <c r="DG454" s="149"/>
      <c r="DH454" s="149"/>
      <c r="DI454" s="149"/>
      <c r="DJ454" s="149"/>
      <c r="DK454" s="149"/>
    </row>
    <row r="455" spans="1:115" x14ac:dyDescent="0.35">
      <c r="A455" s="149"/>
      <c r="E455" s="149"/>
      <c r="F455" s="149"/>
      <c r="G455" s="149"/>
      <c r="H455" s="149"/>
      <c r="I455" s="149"/>
      <c r="J455" s="149"/>
      <c r="K455" s="149"/>
      <c r="L455" s="149"/>
      <c r="M455" s="149"/>
      <c r="N455" s="149"/>
      <c r="O455" s="149"/>
      <c r="P455" s="149"/>
      <c r="Q455" s="149"/>
      <c r="R455" s="149"/>
      <c r="S455" s="149"/>
      <c r="T455" s="149"/>
      <c r="U455" s="149"/>
      <c r="V455" s="149"/>
      <c r="W455" s="149"/>
      <c r="X455" s="149"/>
      <c r="Y455" s="149"/>
      <c r="Z455" s="149"/>
      <c r="AA455" s="149"/>
      <c r="AB455" s="149"/>
      <c r="AC455" s="149"/>
      <c r="AD455" s="149"/>
      <c r="AE455" s="149"/>
      <c r="AF455" s="149"/>
      <c r="AG455" s="149"/>
      <c r="AH455" s="149"/>
      <c r="AI455" s="149"/>
      <c r="AJ455" s="149"/>
      <c r="AK455" s="149"/>
      <c r="AL455" s="149"/>
      <c r="AM455" s="149"/>
      <c r="AN455" s="149"/>
      <c r="AO455" s="149"/>
      <c r="AP455" s="149"/>
      <c r="AQ455" s="149"/>
      <c r="AR455" s="149"/>
      <c r="AS455" s="149"/>
      <c r="AT455" s="149"/>
      <c r="AU455" s="149"/>
      <c r="AV455" s="149"/>
      <c r="AW455" s="149"/>
      <c r="AX455" s="149"/>
      <c r="AY455" s="149"/>
      <c r="AZ455" s="149"/>
      <c r="BA455" s="149"/>
      <c r="BB455" s="149"/>
      <c r="BC455" s="149"/>
      <c r="BD455" s="149"/>
      <c r="BE455" s="149"/>
      <c r="BF455" s="149"/>
      <c r="BG455" s="149"/>
      <c r="BH455" s="149"/>
      <c r="BI455" s="149"/>
      <c r="BJ455" s="149"/>
      <c r="BK455" s="149"/>
      <c r="BL455" s="149"/>
      <c r="BM455" s="149"/>
      <c r="BN455" s="149"/>
      <c r="BO455" s="149"/>
      <c r="BP455" s="149"/>
      <c r="BQ455" s="149"/>
      <c r="BR455" s="149"/>
      <c r="BS455" s="149"/>
      <c r="BT455" s="149"/>
      <c r="BU455" s="149"/>
      <c r="BV455" s="149"/>
      <c r="BW455" s="149"/>
      <c r="BX455" s="149"/>
      <c r="BY455" s="149"/>
      <c r="BZ455" s="149"/>
      <c r="CA455" s="149"/>
      <c r="CB455" s="149"/>
      <c r="CC455" s="149"/>
      <c r="CD455" s="149"/>
      <c r="CE455" s="149"/>
      <c r="CF455" s="149"/>
      <c r="CG455" s="149"/>
      <c r="CH455" s="149"/>
      <c r="CI455" s="149"/>
      <c r="CJ455" s="149"/>
      <c r="CK455" s="149"/>
      <c r="CL455" s="149"/>
      <c r="CM455" s="149"/>
      <c r="CN455" s="149"/>
      <c r="CO455" s="149"/>
      <c r="CP455" s="149"/>
      <c r="CQ455" s="149"/>
      <c r="CR455" s="149"/>
      <c r="CS455" s="149"/>
      <c r="CT455" s="149"/>
      <c r="CU455" s="149"/>
      <c r="CV455" s="149"/>
      <c r="CW455" s="149"/>
      <c r="CX455" s="149"/>
      <c r="CY455" s="149"/>
      <c r="CZ455" s="149"/>
      <c r="DA455" s="149"/>
      <c r="DB455" s="149"/>
      <c r="DC455" s="149"/>
      <c r="DD455" s="149"/>
      <c r="DE455" s="149"/>
      <c r="DF455" s="149"/>
      <c r="DG455" s="149"/>
      <c r="DH455" s="149"/>
      <c r="DI455" s="149"/>
      <c r="DJ455" s="149"/>
      <c r="DK455" s="149"/>
    </row>
    <row r="456" spans="1:115" x14ac:dyDescent="0.35">
      <c r="A456" s="149"/>
      <c r="E456" s="149"/>
      <c r="F456" s="149"/>
      <c r="G456" s="149"/>
      <c r="H456" s="149"/>
      <c r="I456" s="149"/>
      <c r="J456" s="149"/>
      <c r="K456" s="149"/>
      <c r="L456" s="149"/>
      <c r="M456" s="149"/>
      <c r="N456" s="149"/>
      <c r="O456" s="149"/>
      <c r="P456" s="149"/>
      <c r="Q456" s="149"/>
      <c r="R456" s="149"/>
      <c r="S456" s="149"/>
      <c r="T456" s="149"/>
      <c r="U456" s="149"/>
      <c r="V456" s="149"/>
      <c r="W456" s="149"/>
      <c r="X456" s="149"/>
      <c r="Y456" s="149"/>
      <c r="Z456" s="149"/>
      <c r="AA456" s="149"/>
      <c r="AB456" s="149"/>
      <c r="AC456" s="149"/>
      <c r="AD456" s="149"/>
      <c r="AE456" s="149"/>
      <c r="AF456" s="149"/>
      <c r="AG456" s="149"/>
      <c r="AH456" s="149"/>
      <c r="AI456" s="149"/>
      <c r="AJ456" s="149"/>
      <c r="AK456" s="149"/>
      <c r="AL456" s="149"/>
      <c r="AM456" s="149"/>
      <c r="AN456" s="149"/>
      <c r="AO456" s="149"/>
      <c r="AP456" s="149"/>
      <c r="AQ456" s="149"/>
      <c r="AR456" s="149"/>
      <c r="AS456" s="149"/>
      <c r="AT456" s="149"/>
      <c r="AU456" s="149"/>
      <c r="AV456" s="149"/>
      <c r="AW456" s="149"/>
      <c r="AX456" s="149"/>
      <c r="AY456" s="149"/>
      <c r="AZ456" s="149"/>
      <c r="BA456" s="149"/>
      <c r="BB456" s="149"/>
      <c r="BC456" s="149"/>
      <c r="BD456" s="149"/>
      <c r="BE456" s="149"/>
      <c r="BF456" s="149"/>
      <c r="BG456" s="149"/>
      <c r="BH456" s="149"/>
      <c r="BI456" s="149"/>
      <c r="BJ456" s="149"/>
      <c r="BK456" s="149"/>
      <c r="BL456" s="149"/>
      <c r="BM456" s="149"/>
      <c r="BN456" s="149"/>
      <c r="BO456" s="149"/>
      <c r="BP456" s="149"/>
      <c r="BQ456" s="149"/>
      <c r="BR456" s="149"/>
      <c r="BS456" s="149"/>
      <c r="BT456" s="149"/>
      <c r="BU456" s="149"/>
      <c r="BV456" s="149"/>
      <c r="BW456" s="149"/>
      <c r="BX456" s="149"/>
      <c r="BY456" s="149"/>
      <c r="BZ456" s="149"/>
      <c r="CA456" s="149"/>
      <c r="CB456" s="149"/>
      <c r="CC456" s="149"/>
      <c r="CD456" s="149"/>
      <c r="CE456" s="149"/>
      <c r="CF456" s="149"/>
      <c r="CG456" s="149"/>
      <c r="CH456" s="149"/>
      <c r="CI456" s="149"/>
      <c r="CJ456" s="149"/>
      <c r="CK456" s="149"/>
      <c r="CL456" s="149"/>
      <c r="CM456" s="149"/>
      <c r="CN456" s="149"/>
      <c r="CO456" s="149"/>
      <c r="CP456" s="149"/>
      <c r="CQ456" s="149"/>
      <c r="CR456" s="149"/>
      <c r="CS456" s="149"/>
      <c r="CT456" s="149"/>
      <c r="CU456" s="149"/>
      <c r="CV456" s="149"/>
      <c r="CW456" s="149"/>
      <c r="CX456" s="149"/>
      <c r="CY456" s="149"/>
      <c r="CZ456" s="149"/>
      <c r="DA456" s="149"/>
      <c r="DB456" s="149"/>
      <c r="DC456" s="149"/>
      <c r="DD456" s="149"/>
      <c r="DE456" s="149"/>
      <c r="DF456" s="149"/>
      <c r="DG456" s="149"/>
      <c r="DH456" s="149"/>
      <c r="DI456" s="149"/>
      <c r="DJ456" s="149"/>
      <c r="DK456" s="149"/>
    </row>
    <row r="457" spans="1:115" x14ac:dyDescent="0.35">
      <c r="A457" s="149"/>
      <c r="E457" s="149"/>
      <c r="F457" s="149"/>
      <c r="G457" s="149"/>
      <c r="H457" s="149"/>
      <c r="I457" s="149"/>
      <c r="J457" s="149"/>
      <c r="K457" s="149"/>
      <c r="L457" s="149"/>
      <c r="M457" s="149"/>
      <c r="N457" s="149"/>
      <c r="O457" s="149"/>
      <c r="P457" s="149"/>
      <c r="Q457" s="149"/>
      <c r="R457" s="149"/>
      <c r="S457" s="149"/>
      <c r="T457" s="149"/>
      <c r="U457" s="149"/>
      <c r="V457" s="149"/>
      <c r="W457" s="149"/>
      <c r="X457" s="149"/>
      <c r="Y457" s="149"/>
      <c r="Z457" s="149"/>
      <c r="AA457" s="149"/>
      <c r="AB457" s="149"/>
      <c r="AC457" s="149"/>
      <c r="AD457" s="149"/>
      <c r="AE457" s="149"/>
      <c r="AF457" s="149"/>
      <c r="AG457" s="149"/>
      <c r="AH457" s="149"/>
      <c r="AI457" s="149"/>
      <c r="AJ457" s="149"/>
      <c r="AK457" s="149"/>
      <c r="AL457" s="149"/>
      <c r="AM457" s="149"/>
      <c r="AN457" s="149"/>
      <c r="AO457" s="149"/>
      <c r="AP457" s="149"/>
      <c r="AQ457" s="149"/>
      <c r="AR457" s="149"/>
      <c r="AS457" s="149"/>
      <c r="AT457" s="149"/>
      <c r="AU457" s="149"/>
      <c r="AV457" s="149"/>
      <c r="AW457" s="149"/>
      <c r="AX457" s="149"/>
      <c r="AY457" s="149"/>
      <c r="AZ457" s="149"/>
      <c r="BA457" s="149"/>
      <c r="BB457" s="149"/>
      <c r="BC457" s="149"/>
      <c r="BD457" s="149"/>
      <c r="BE457" s="149"/>
      <c r="BF457" s="149"/>
      <c r="BG457" s="149"/>
      <c r="BH457" s="149"/>
      <c r="BI457" s="149"/>
      <c r="BJ457" s="149"/>
      <c r="BK457" s="149"/>
      <c r="BL457" s="149"/>
      <c r="BM457" s="149"/>
      <c r="BN457" s="149"/>
      <c r="BO457" s="149"/>
      <c r="BP457" s="149"/>
      <c r="BQ457" s="149"/>
      <c r="BR457" s="149"/>
      <c r="BS457" s="149"/>
      <c r="BT457" s="149"/>
      <c r="BU457" s="149"/>
      <c r="BV457" s="149"/>
      <c r="BW457" s="149"/>
      <c r="BX457" s="149"/>
      <c r="BY457" s="149"/>
      <c r="BZ457" s="149"/>
      <c r="CA457" s="149"/>
      <c r="CB457" s="149"/>
      <c r="CC457" s="149"/>
      <c r="CD457" s="149"/>
      <c r="CE457" s="149"/>
      <c r="CF457" s="149"/>
      <c r="CG457" s="149"/>
      <c r="CH457" s="149"/>
      <c r="CI457" s="149"/>
      <c r="CJ457" s="149"/>
      <c r="CK457" s="149"/>
      <c r="CL457" s="149"/>
      <c r="CM457" s="149"/>
      <c r="CN457" s="149"/>
      <c r="CO457" s="149"/>
      <c r="CP457" s="149"/>
      <c r="CQ457" s="149"/>
      <c r="CR457" s="149"/>
      <c r="CS457" s="149"/>
      <c r="CT457" s="149"/>
      <c r="CU457" s="149"/>
      <c r="CV457" s="149"/>
      <c r="CW457" s="149"/>
      <c r="CX457" s="149"/>
      <c r="CY457" s="149"/>
      <c r="CZ457" s="149"/>
      <c r="DA457" s="149"/>
      <c r="DB457" s="149"/>
      <c r="DC457" s="149"/>
      <c r="DD457" s="149"/>
      <c r="DE457" s="149"/>
      <c r="DF457" s="149"/>
      <c r="DG457" s="149"/>
      <c r="DH457" s="149"/>
      <c r="DI457" s="149"/>
      <c r="DJ457" s="149"/>
      <c r="DK457" s="149"/>
    </row>
    <row r="458" spans="1:115" x14ac:dyDescent="0.35">
      <c r="A458" s="149"/>
      <c r="E458" s="149"/>
      <c r="F458" s="149"/>
      <c r="G458" s="149"/>
      <c r="H458" s="149"/>
      <c r="I458" s="149"/>
      <c r="J458" s="149"/>
      <c r="K458" s="149"/>
      <c r="L458" s="149"/>
      <c r="M458" s="149"/>
      <c r="N458" s="149"/>
      <c r="O458" s="149"/>
      <c r="P458" s="149"/>
      <c r="Q458" s="149"/>
      <c r="R458" s="149"/>
      <c r="S458" s="149"/>
      <c r="T458" s="149"/>
      <c r="U458" s="149"/>
      <c r="V458" s="149"/>
      <c r="W458" s="149"/>
      <c r="X458" s="149"/>
      <c r="Y458" s="149"/>
      <c r="Z458" s="149"/>
      <c r="AA458" s="149"/>
      <c r="AB458" s="149"/>
      <c r="AC458" s="149"/>
      <c r="AD458" s="149"/>
      <c r="AE458" s="149"/>
      <c r="AF458" s="149"/>
      <c r="AG458" s="149"/>
      <c r="AH458" s="149"/>
      <c r="AI458" s="149"/>
      <c r="AJ458" s="149"/>
      <c r="AK458" s="149"/>
      <c r="AL458" s="149"/>
      <c r="AM458" s="149"/>
      <c r="AN458" s="149"/>
      <c r="AO458" s="149"/>
      <c r="AP458" s="149"/>
      <c r="AQ458" s="149"/>
      <c r="AR458" s="149"/>
      <c r="AS458" s="149"/>
      <c r="AT458" s="149"/>
      <c r="AU458" s="149"/>
      <c r="AV458" s="149"/>
      <c r="AW458" s="149"/>
      <c r="AX458" s="149"/>
      <c r="AY458" s="149"/>
      <c r="AZ458" s="149"/>
      <c r="BA458" s="149"/>
      <c r="BB458" s="149"/>
      <c r="BC458" s="149"/>
      <c r="BD458" s="149"/>
      <c r="BE458" s="149"/>
      <c r="BF458" s="149"/>
      <c r="BG458" s="149"/>
      <c r="BH458" s="149"/>
      <c r="BI458" s="149"/>
      <c r="BJ458" s="149"/>
      <c r="BK458" s="149"/>
      <c r="BL458" s="149"/>
      <c r="BM458" s="149"/>
      <c r="BN458" s="149"/>
      <c r="BO458" s="149"/>
      <c r="BP458" s="149"/>
      <c r="BQ458" s="149"/>
      <c r="BR458" s="149"/>
      <c r="BS458" s="149"/>
      <c r="BT458" s="149"/>
      <c r="BU458" s="149"/>
      <c r="BV458" s="149"/>
      <c r="BW458" s="149"/>
      <c r="BX458" s="149"/>
      <c r="BY458" s="149"/>
      <c r="BZ458" s="149"/>
      <c r="CA458" s="149"/>
      <c r="CB458" s="149"/>
      <c r="CC458" s="149"/>
      <c r="CD458" s="149"/>
      <c r="CE458" s="149"/>
      <c r="CF458" s="149"/>
      <c r="CG458" s="149"/>
      <c r="CH458" s="149"/>
      <c r="CI458" s="149"/>
      <c r="CJ458" s="149"/>
      <c r="CK458" s="149"/>
      <c r="CL458" s="149"/>
      <c r="CM458" s="149"/>
      <c r="CN458" s="149"/>
      <c r="CO458" s="149"/>
      <c r="CP458" s="149"/>
      <c r="CQ458" s="149"/>
      <c r="CR458" s="149"/>
      <c r="CS458" s="149"/>
      <c r="CT458" s="149"/>
      <c r="CU458" s="149"/>
      <c r="CV458" s="149"/>
      <c r="CW458" s="149"/>
      <c r="CX458" s="149"/>
      <c r="CY458" s="149"/>
      <c r="CZ458" s="149"/>
      <c r="DA458" s="149"/>
      <c r="DB458" s="149"/>
      <c r="DC458" s="149"/>
      <c r="DD458" s="149"/>
      <c r="DE458" s="149"/>
      <c r="DF458" s="149"/>
      <c r="DG458" s="149"/>
      <c r="DH458" s="149"/>
      <c r="DI458" s="149"/>
      <c r="DJ458" s="149"/>
      <c r="DK458" s="149"/>
    </row>
    <row r="459" spans="1:115" x14ac:dyDescent="0.35">
      <c r="A459" s="149"/>
      <c r="E459" s="149"/>
      <c r="F459" s="149"/>
      <c r="G459" s="149"/>
      <c r="H459" s="149"/>
      <c r="I459" s="149"/>
      <c r="J459" s="149"/>
      <c r="K459" s="149"/>
      <c r="L459" s="149"/>
      <c r="M459" s="149"/>
      <c r="N459" s="149"/>
      <c r="O459" s="149"/>
      <c r="P459" s="149"/>
      <c r="Q459" s="149"/>
      <c r="R459" s="149"/>
      <c r="S459" s="149"/>
      <c r="T459" s="149"/>
      <c r="U459" s="149"/>
      <c r="V459" s="149"/>
      <c r="W459" s="149"/>
      <c r="X459" s="149"/>
      <c r="Y459" s="149"/>
      <c r="Z459" s="149"/>
      <c r="AA459" s="149"/>
      <c r="AB459" s="149"/>
      <c r="AC459" s="149"/>
      <c r="AD459" s="149"/>
      <c r="AE459" s="149"/>
      <c r="AF459" s="149"/>
      <c r="AG459" s="149"/>
      <c r="AH459" s="149"/>
      <c r="AI459" s="149"/>
      <c r="AJ459" s="149"/>
      <c r="AK459" s="149"/>
      <c r="AL459" s="149"/>
      <c r="AM459" s="149"/>
      <c r="AN459" s="149"/>
      <c r="AO459" s="149"/>
      <c r="AP459" s="149"/>
      <c r="AQ459" s="149"/>
      <c r="AR459" s="149"/>
      <c r="AS459" s="149"/>
      <c r="AT459" s="149"/>
      <c r="AU459" s="149"/>
      <c r="AV459" s="149"/>
      <c r="AW459" s="149"/>
      <c r="AX459" s="149"/>
      <c r="AY459" s="149"/>
      <c r="AZ459" s="149"/>
      <c r="BA459" s="149"/>
      <c r="BB459" s="149"/>
      <c r="BC459" s="149"/>
      <c r="BD459" s="149"/>
      <c r="BE459" s="149"/>
      <c r="BF459" s="149"/>
      <c r="BG459" s="149"/>
      <c r="BH459" s="149"/>
      <c r="BI459" s="149"/>
      <c r="BJ459" s="149"/>
      <c r="BK459" s="149"/>
      <c r="BL459" s="149"/>
      <c r="BM459" s="149"/>
      <c r="BN459" s="149"/>
      <c r="BO459" s="149"/>
      <c r="BP459" s="149"/>
      <c r="BQ459" s="149"/>
      <c r="BR459" s="149"/>
      <c r="BS459" s="149"/>
      <c r="BT459" s="149"/>
      <c r="BU459" s="149"/>
      <c r="BV459" s="149"/>
      <c r="BW459" s="149"/>
      <c r="BX459" s="149"/>
      <c r="BY459" s="149"/>
      <c r="BZ459" s="149"/>
      <c r="CA459" s="149"/>
      <c r="CB459" s="149"/>
      <c r="CC459" s="149"/>
      <c r="CD459" s="149"/>
      <c r="CE459" s="149"/>
      <c r="CF459" s="149"/>
      <c r="CG459" s="149"/>
      <c r="CH459" s="149"/>
      <c r="CI459" s="149"/>
      <c r="CJ459" s="149"/>
      <c r="CK459" s="149"/>
      <c r="CL459" s="149"/>
      <c r="CM459" s="149"/>
      <c r="CN459" s="149"/>
      <c r="CO459" s="149"/>
      <c r="CP459" s="149"/>
      <c r="CQ459" s="149"/>
      <c r="CR459" s="149"/>
      <c r="CS459" s="149"/>
      <c r="CT459" s="149"/>
      <c r="CU459" s="149"/>
      <c r="CV459" s="149"/>
      <c r="CW459" s="149"/>
      <c r="CX459" s="149"/>
      <c r="CY459" s="149"/>
      <c r="CZ459" s="149"/>
      <c r="DA459" s="149"/>
      <c r="DB459" s="149"/>
      <c r="DC459" s="149"/>
      <c r="DD459" s="149"/>
      <c r="DE459" s="149"/>
      <c r="DF459" s="149"/>
      <c r="DG459" s="149"/>
      <c r="DH459" s="149"/>
      <c r="DI459" s="149"/>
      <c r="DJ459" s="149"/>
      <c r="DK459" s="149"/>
    </row>
    <row r="460" spans="1:115" x14ac:dyDescent="0.35">
      <c r="A460" s="149"/>
      <c r="E460" s="149"/>
      <c r="F460" s="149"/>
      <c r="G460" s="149"/>
      <c r="H460" s="149"/>
      <c r="I460" s="149"/>
      <c r="J460" s="149"/>
      <c r="K460" s="149"/>
      <c r="L460" s="149"/>
      <c r="M460" s="149"/>
      <c r="N460" s="149"/>
      <c r="O460" s="149"/>
      <c r="P460" s="149"/>
      <c r="Q460" s="149"/>
      <c r="R460" s="149"/>
      <c r="S460" s="149"/>
      <c r="T460" s="149"/>
      <c r="U460" s="149"/>
      <c r="V460" s="149"/>
      <c r="W460" s="149"/>
      <c r="X460" s="149"/>
      <c r="Y460" s="149"/>
      <c r="Z460" s="149"/>
      <c r="AA460" s="149"/>
      <c r="AB460" s="149"/>
      <c r="AC460" s="149"/>
      <c r="AD460" s="149"/>
      <c r="AE460" s="149"/>
      <c r="AF460" s="149"/>
      <c r="AG460" s="149"/>
      <c r="AH460" s="149"/>
      <c r="AI460" s="149"/>
      <c r="AJ460" s="149"/>
      <c r="AK460" s="149"/>
      <c r="AL460" s="149"/>
      <c r="AM460" s="149"/>
      <c r="AN460" s="149"/>
      <c r="AO460" s="149"/>
      <c r="AP460" s="149"/>
      <c r="AQ460" s="149"/>
      <c r="AR460" s="149"/>
      <c r="AS460" s="149"/>
      <c r="AT460" s="149"/>
      <c r="AU460" s="149"/>
      <c r="AV460" s="149"/>
      <c r="AW460" s="149"/>
      <c r="AX460" s="149"/>
      <c r="AY460" s="149"/>
      <c r="AZ460" s="149"/>
      <c r="BA460" s="149"/>
      <c r="BB460" s="149"/>
      <c r="BC460" s="149"/>
      <c r="BD460" s="149"/>
      <c r="BE460" s="149"/>
      <c r="BF460" s="149"/>
      <c r="BG460" s="149"/>
      <c r="BH460" s="149"/>
      <c r="BI460" s="149"/>
      <c r="BJ460" s="149"/>
      <c r="BK460" s="149"/>
      <c r="BL460" s="149"/>
      <c r="BM460" s="149"/>
      <c r="BN460" s="149"/>
      <c r="BO460" s="149"/>
      <c r="BP460" s="149"/>
      <c r="BQ460" s="149"/>
      <c r="BR460" s="149"/>
      <c r="BS460" s="149"/>
      <c r="BT460" s="149"/>
      <c r="BU460" s="149"/>
      <c r="BV460" s="149"/>
      <c r="BW460" s="149"/>
      <c r="BX460" s="149"/>
      <c r="BY460" s="149"/>
      <c r="BZ460" s="149"/>
      <c r="CA460" s="149"/>
      <c r="CB460" s="149"/>
      <c r="CC460" s="149"/>
      <c r="CD460" s="149"/>
      <c r="CE460" s="149"/>
      <c r="CF460" s="149"/>
      <c r="CG460" s="149"/>
      <c r="CH460" s="149"/>
      <c r="CI460" s="149"/>
      <c r="CJ460" s="149"/>
      <c r="CK460" s="149"/>
      <c r="CL460" s="149"/>
      <c r="CM460" s="149"/>
      <c r="CN460" s="149"/>
      <c r="CO460" s="149"/>
      <c r="CP460" s="149"/>
      <c r="CQ460" s="149"/>
      <c r="CR460" s="149"/>
      <c r="CS460" s="149"/>
      <c r="CT460" s="149"/>
      <c r="CU460" s="149"/>
      <c r="CV460" s="149"/>
      <c r="CW460" s="149"/>
      <c r="CX460" s="149"/>
      <c r="CY460" s="149"/>
      <c r="CZ460" s="149"/>
      <c r="DA460" s="149"/>
      <c r="DB460" s="149"/>
      <c r="DC460" s="149"/>
      <c r="DD460" s="149"/>
      <c r="DE460" s="149"/>
      <c r="DF460" s="149"/>
      <c r="DG460" s="149"/>
      <c r="DH460" s="149"/>
      <c r="DI460" s="149"/>
      <c r="DJ460" s="149"/>
      <c r="DK460" s="149"/>
    </row>
    <row r="461" spans="1:115" x14ac:dyDescent="0.35">
      <c r="A461" s="149"/>
      <c r="E461" s="149"/>
      <c r="F461" s="149"/>
      <c r="G461" s="149"/>
      <c r="H461" s="149"/>
      <c r="I461" s="149"/>
      <c r="J461" s="149"/>
      <c r="K461" s="149"/>
      <c r="L461" s="149"/>
      <c r="M461" s="149"/>
      <c r="N461" s="149"/>
      <c r="O461" s="149"/>
      <c r="P461" s="149"/>
      <c r="Q461" s="149"/>
      <c r="R461" s="149"/>
      <c r="S461" s="149"/>
      <c r="T461" s="149"/>
      <c r="U461" s="149"/>
      <c r="V461" s="149"/>
      <c r="W461" s="149"/>
      <c r="X461" s="149"/>
      <c r="Y461" s="149"/>
      <c r="Z461" s="149"/>
      <c r="AA461" s="149"/>
      <c r="AB461" s="149"/>
      <c r="AC461" s="149"/>
      <c r="AD461" s="149"/>
      <c r="AE461" s="149"/>
      <c r="AF461" s="149"/>
      <c r="AG461" s="149"/>
      <c r="AH461" s="149"/>
      <c r="AI461" s="149"/>
      <c r="AJ461" s="149"/>
      <c r="AK461" s="149"/>
      <c r="AL461" s="149"/>
      <c r="AM461" s="149"/>
      <c r="AN461" s="149"/>
      <c r="AO461" s="149"/>
      <c r="AP461" s="149"/>
      <c r="AQ461" s="149"/>
      <c r="AR461" s="149"/>
      <c r="AS461" s="149"/>
      <c r="AT461" s="149"/>
      <c r="AU461" s="149"/>
      <c r="AV461" s="149"/>
      <c r="AW461" s="149"/>
      <c r="AX461" s="149"/>
      <c r="AY461" s="149"/>
      <c r="AZ461" s="149"/>
      <c r="BA461" s="149"/>
      <c r="BB461" s="149"/>
      <c r="BC461" s="149"/>
      <c r="BD461" s="149"/>
      <c r="BE461" s="149"/>
      <c r="BF461" s="149"/>
      <c r="BG461" s="149"/>
      <c r="BH461" s="149"/>
      <c r="BI461" s="149"/>
      <c r="BJ461" s="149"/>
      <c r="BK461" s="149"/>
      <c r="BL461" s="149"/>
      <c r="BM461" s="149"/>
      <c r="BN461" s="149"/>
      <c r="BO461" s="149"/>
      <c r="BP461" s="149"/>
      <c r="BQ461" s="149"/>
      <c r="BR461" s="149"/>
      <c r="BS461" s="149"/>
      <c r="BT461" s="149"/>
      <c r="BU461" s="149"/>
      <c r="BV461" s="149"/>
      <c r="BW461" s="149"/>
      <c r="BX461" s="149"/>
      <c r="BY461" s="149"/>
      <c r="BZ461" s="149"/>
      <c r="CA461" s="149"/>
      <c r="CB461" s="149"/>
      <c r="CC461" s="149"/>
      <c r="CD461" s="149"/>
      <c r="CE461" s="149"/>
      <c r="CF461" s="149"/>
      <c r="CG461" s="149"/>
      <c r="CH461" s="149"/>
      <c r="CI461" s="149"/>
      <c r="CJ461" s="149"/>
      <c r="CK461" s="149"/>
      <c r="CL461" s="149"/>
      <c r="CM461" s="149"/>
      <c r="CN461" s="149"/>
      <c r="CO461" s="149"/>
      <c r="CP461" s="149"/>
      <c r="CQ461" s="149"/>
      <c r="CR461" s="149"/>
      <c r="CS461" s="149"/>
      <c r="CT461" s="149"/>
      <c r="CU461" s="149"/>
      <c r="CV461" s="149"/>
      <c r="CW461" s="149"/>
      <c r="CX461" s="149"/>
      <c r="CY461" s="149"/>
      <c r="CZ461" s="149"/>
      <c r="DA461" s="149"/>
      <c r="DB461" s="149"/>
      <c r="DC461" s="149"/>
      <c r="DD461" s="149"/>
      <c r="DE461" s="149"/>
      <c r="DF461" s="149"/>
      <c r="DG461" s="149"/>
      <c r="DH461" s="149"/>
      <c r="DI461" s="149"/>
      <c r="DJ461" s="149"/>
      <c r="DK461" s="149"/>
    </row>
    <row r="462" spans="1:115" x14ac:dyDescent="0.35">
      <c r="A462" s="149"/>
      <c r="E462" s="149"/>
      <c r="F462" s="149"/>
      <c r="G462" s="149"/>
      <c r="H462" s="149"/>
      <c r="I462" s="149"/>
      <c r="J462" s="149"/>
      <c r="K462" s="149"/>
      <c r="L462" s="149"/>
      <c r="M462" s="149"/>
      <c r="N462" s="149"/>
      <c r="O462" s="149"/>
      <c r="P462" s="149"/>
      <c r="Q462" s="149"/>
      <c r="R462" s="149"/>
      <c r="S462" s="149"/>
      <c r="T462" s="149"/>
      <c r="U462" s="149"/>
      <c r="V462" s="149"/>
      <c r="W462" s="149"/>
      <c r="X462" s="149"/>
      <c r="Y462" s="149"/>
      <c r="Z462" s="149"/>
      <c r="AA462" s="149"/>
      <c r="AB462" s="149"/>
      <c r="AC462" s="149"/>
      <c r="AD462" s="149"/>
      <c r="AE462" s="149"/>
      <c r="AF462" s="149"/>
      <c r="AG462" s="149"/>
      <c r="AH462" s="149"/>
      <c r="AI462" s="149"/>
      <c r="AJ462" s="149"/>
      <c r="AK462" s="149"/>
      <c r="AL462" s="149"/>
      <c r="AM462" s="149"/>
      <c r="AN462" s="149"/>
      <c r="AO462" s="149"/>
      <c r="AP462" s="149"/>
      <c r="AQ462" s="149"/>
      <c r="AR462" s="149"/>
      <c r="AS462" s="149"/>
      <c r="AT462" s="149"/>
      <c r="AU462" s="149"/>
      <c r="AV462" s="149"/>
      <c r="AW462" s="149"/>
      <c r="AX462" s="149"/>
      <c r="AY462" s="149"/>
      <c r="AZ462" s="149"/>
      <c r="BA462" s="149"/>
      <c r="BB462" s="149"/>
      <c r="BC462" s="149"/>
      <c r="BD462" s="149"/>
      <c r="BE462" s="149"/>
      <c r="BF462" s="149"/>
      <c r="BG462" s="149"/>
      <c r="BH462" s="149"/>
      <c r="BI462" s="149"/>
      <c r="BJ462" s="149"/>
      <c r="BK462" s="149"/>
      <c r="BL462" s="149"/>
      <c r="BM462" s="149"/>
      <c r="BN462" s="149"/>
      <c r="BO462" s="149"/>
      <c r="BP462" s="149"/>
      <c r="BQ462" s="149"/>
      <c r="BR462" s="149"/>
      <c r="BS462" s="149"/>
      <c r="BT462" s="149"/>
      <c r="BU462" s="149"/>
      <c r="BV462" s="149"/>
      <c r="BW462" s="149"/>
      <c r="BX462" s="149"/>
      <c r="BY462" s="149"/>
      <c r="BZ462" s="149"/>
      <c r="CA462" s="149"/>
      <c r="CB462" s="149"/>
      <c r="CC462" s="149"/>
      <c r="CD462" s="149"/>
      <c r="CE462" s="149"/>
      <c r="CF462" s="149"/>
      <c r="CG462" s="149"/>
      <c r="CH462" s="149"/>
      <c r="CI462" s="149"/>
      <c r="CJ462" s="149"/>
      <c r="CK462" s="149"/>
      <c r="CL462" s="149"/>
      <c r="CM462" s="149"/>
      <c r="CN462" s="149"/>
      <c r="CO462" s="149"/>
      <c r="CP462" s="149"/>
      <c r="CQ462" s="149"/>
      <c r="CR462" s="149"/>
      <c r="CS462" s="149"/>
      <c r="CT462" s="149"/>
      <c r="CU462" s="149"/>
      <c r="CV462" s="149"/>
      <c r="CW462" s="149"/>
      <c r="CX462" s="149"/>
      <c r="CY462" s="149"/>
      <c r="CZ462" s="149"/>
      <c r="DA462" s="149"/>
      <c r="DB462" s="149"/>
      <c r="DC462" s="149"/>
      <c r="DD462" s="149"/>
      <c r="DE462" s="149"/>
      <c r="DF462" s="149"/>
      <c r="DG462" s="149"/>
      <c r="DH462" s="149"/>
      <c r="DI462" s="149"/>
      <c r="DJ462" s="149"/>
      <c r="DK462" s="149"/>
    </row>
    <row r="463" spans="1:115" x14ac:dyDescent="0.35">
      <c r="A463" s="149"/>
      <c r="E463" s="149"/>
      <c r="F463" s="149"/>
      <c r="G463" s="149"/>
      <c r="H463" s="149"/>
      <c r="I463" s="149"/>
      <c r="J463" s="149"/>
      <c r="K463" s="149"/>
      <c r="L463" s="149"/>
      <c r="M463" s="149"/>
      <c r="N463" s="149"/>
      <c r="O463" s="149"/>
      <c r="P463" s="149"/>
      <c r="Q463" s="149"/>
      <c r="R463" s="149"/>
      <c r="S463" s="149"/>
      <c r="T463" s="149"/>
      <c r="U463" s="149"/>
      <c r="V463" s="149"/>
      <c r="W463" s="149"/>
      <c r="X463" s="149"/>
      <c r="Y463" s="149"/>
      <c r="Z463" s="149"/>
      <c r="AA463" s="149"/>
      <c r="AB463" s="149"/>
      <c r="AC463" s="149"/>
      <c r="AD463" s="149"/>
      <c r="AE463" s="149"/>
      <c r="AF463" s="149"/>
      <c r="AG463" s="149"/>
      <c r="AH463" s="149"/>
      <c r="AI463" s="149"/>
      <c r="AJ463" s="149"/>
      <c r="AK463" s="149"/>
      <c r="AL463" s="149"/>
      <c r="AM463" s="149"/>
      <c r="AN463" s="149"/>
      <c r="AO463" s="149"/>
      <c r="AP463" s="149"/>
      <c r="AQ463" s="149"/>
      <c r="AR463" s="149"/>
      <c r="AS463" s="149"/>
      <c r="AT463" s="149"/>
      <c r="AU463" s="149"/>
      <c r="AV463" s="149"/>
      <c r="AW463" s="149"/>
      <c r="AX463" s="149"/>
      <c r="AY463" s="149"/>
      <c r="AZ463" s="149"/>
      <c r="BA463" s="149"/>
      <c r="BB463" s="149"/>
      <c r="BC463" s="149"/>
      <c r="BD463" s="149"/>
      <c r="BE463" s="149"/>
      <c r="BF463" s="149"/>
      <c r="BG463" s="149"/>
      <c r="BH463" s="149"/>
      <c r="BI463" s="149"/>
      <c r="BJ463" s="149"/>
      <c r="BK463" s="149"/>
      <c r="BL463" s="149"/>
      <c r="BM463" s="149"/>
      <c r="BN463" s="149"/>
      <c r="BO463" s="149"/>
      <c r="BP463" s="149"/>
      <c r="BQ463" s="149"/>
      <c r="BR463" s="149"/>
      <c r="BS463" s="149"/>
      <c r="BT463" s="149"/>
      <c r="BU463" s="149"/>
      <c r="BV463" s="149"/>
      <c r="BW463" s="149"/>
      <c r="BX463" s="149"/>
      <c r="BY463" s="149"/>
      <c r="BZ463" s="149"/>
      <c r="CA463" s="149"/>
      <c r="CB463" s="149"/>
      <c r="CC463" s="149"/>
      <c r="CD463" s="149"/>
      <c r="CE463" s="149"/>
      <c r="CF463" s="149"/>
      <c r="CG463" s="149"/>
      <c r="CH463" s="149"/>
      <c r="CI463" s="149"/>
      <c r="CJ463" s="149"/>
      <c r="CK463" s="149"/>
      <c r="CL463" s="149"/>
      <c r="CM463" s="149"/>
      <c r="CN463" s="149"/>
      <c r="CO463" s="149"/>
      <c r="CP463" s="149"/>
      <c r="CQ463" s="149"/>
      <c r="CR463" s="149"/>
      <c r="CS463" s="149"/>
      <c r="CT463" s="149"/>
      <c r="CU463" s="149"/>
      <c r="CV463" s="149"/>
      <c r="CW463" s="149"/>
      <c r="CX463" s="149"/>
      <c r="CY463" s="149"/>
      <c r="CZ463" s="149"/>
      <c r="DA463" s="149"/>
      <c r="DB463" s="149"/>
      <c r="DC463" s="149"/>
      <c r="DD463" s="149"/>
      <c r="DE463" s="149"/>
      <c r="DF463" s="149"/>
      <c r="DG463" s="149"/>
      <c r="DH463" s="149"/>
      <c r="DI463" s="149"/>
      <c r="DJ463" s="149"/>
      <c r="DK463" s="149"/>
    </row>
    <row r="464" spans="1:115" x14ac:dyDescent="0.35">
      <c r="A464" s="149"/>
      <c r="E464" s="149"/>
      <c r="F464" s="149"/>
      <c r="G464" s="149"/>
      <c r="H464" s="149"/>
      <c r="I464" s="149"/>
      <c r="J464" s="149"/>
      <c r="K464" s="149"/>
      <c r="L464" s="149"/>
      <c r="M464" s="149"/>
      <c r="N464" s="149"/>
      <c r="O464" s="149"/>
      <c r="P464" s="149"/>
      <c r="Q464" s="149"/>
      <c r="R464" s="149"/>
      <c r="S464" s="149"/>
      <c r="T464" s="149"/>
      <c r="U464" s="149"/>
      <c r="V464" s="149"/>
      <c r="W464" s="149"/>
      <c r="X464" s="149"/>
      <c r="Y464" s="149"/>
      <c r="Z464" s="149"/>
      <c r="AA464" s="149"/>
      <c r="AB464" s="149"/>
      <c r="AC464" s="149"/>
      <c r="AD464" s="149"/>
      <c r="AE464" s="149"/>
      <c r="AF464" s="149"/>
      <c r="AG464" s="149"/>
      <c r="AH464" s="149"/>
      <c r="AI464" s="149"/>
      <c r="AJ464" s="149"/>
      <c r="AK464" s="149"/>
      <c r="AL464" s="149"/>
      <c r="AM464" s="149"/>
      <c r="AN464" s="149"/>
      <c r="AO464" s="149"/>
      <c r="AP464" s="149"/>
      <c r="AQ464" s="149"/>
      <c r="AR464" s="149"/>
      <c r="AS464" s="149"/>
      <c r="AT464" s="149"/>
      <c r="AU464" s="149"/>
      <c r="AV464" s="149"/>
      <c r="AW464" s="149"/>
      <c r="AX464" s="149"/>
      <c r="AY464" s="149"/>
      <c r="AZ464" s="149"/>
      <c r="BA464" s="149"/>
      <c r="BB464" s="149"/>
      <c r="BC464" s="149"/>
      <c r="BD464" s="149"/>
      <c r="BE464" s="149"/>
      <c r="BF464" s="149"/>
      <c r="BG464" s="149"/>
      <c r="BH464" s="149"/>
      <c r="BI464" s="149"/>
      <c r="BJ464" s="149"/>
      <c r="BK464" s="149"/>
      <c r="BL464" s="149"/>
      <c r="BM464" s="149"/>
      <c r="BN464" s="149"/>
      <c r="BO464" s="149"/>
      <c r="BP464" s="149"/>
      <c r="BQ464" s="149"/>
      <c r="BR464" s="149"/>
      <c r="BS464" s="149"/>
      <c r="BT464" s="149"/>
      <c r="BU464" s="149"/>
      <c r="BV464" s="149"/>
      <c r="BW464" s="149"/>
      <c r="BX464" s="149"/>
      <c r="BY464" s="149"/>
      <c r="BZ464" s="149"/>
      <c r="CA464" s="149"/>
      <c r="CB464" s="149"/>
      <c r="CC464" s="149"/>
      <c r="CD464" s="149"/>
      <c r="CE464" s="149"/>
      <c r="CF464" s="149"/>
      <c r="CG464" s="149"/>
      <c r="CH464" s="149"/>
      <c r="CI464" s="149"/>
      <c r="CJ464" s="149"/>
      <c r="CK464" s="149"/>
      <c r="CL464" s="149"/>
      <c r="CM464" s="149"/>
      <c r="CN464" s="149"/>
      <c r="CO464" s="149"/>
      <c r="CP464" s="149"/>
      <c r="CQ464" s="149"/>
      <c r="CR464" s="149"/>
      <c r="CS464" s="149"/>
      <c r="CT464" s="149"/>
      <c r="CU464" s="149"/>
      <c r="CV464" s="149"/>
      <c r="CW464" s="149"/>
      <c r="CX464" s="149"/>
      <c r="CY464" s="149"/>
      <c r="CZ464" s="149"/>
      <c r="DA464" s="149"/>
      <c r="DB464" s="149"/>
      <c r="DC464" s="149"/>
      <c r="DD464" s="149"/>
      <c r="DE464" s="149"/>
      <c r="DF464" s="149"/>
      <c r="DG464" s="149"/>
      <c r="DH464" s="149"/>
      <c r="DI464" s="149"/>
      <c r="DJ464" s="149"/>
      <c r="DK464" s="149"/>
    </row>
    <row r="465" spans="1:108" x14ac:dyDescent="0.35">
      <c r="A465" s="149"/>
      <c r="E465" s="149"/>
      <c r="F465" s="149"/>
      <c r="G465" s="149"/>
      <c r="H465" s="149"/>
      <c r="I465" s="149"/>
      <c r="J465" s="149"/>
      <c r="K465" s="149"/>
      <c r="L465" s="149"/>
      <c r="M465" s="149"/>
      <c r="N465" s="149"/>
      <c r="O465" s="149"/>
      <c r="P465" s="149"/>
      <c r="Q465" s="149"/>
      <c r="R465" s="149"/>
      <c r="S465" s="149"/>
      <c r="T465" s="149"/>
      <c r="U465" s="149"/>
      <c r="V465" s="149"/>
      <c r="W465" s="149"/>
      <c r="X465" s="149"/>
      <c r="Y465" s="149"/>
      <c r="Z465" s="149"/>
      <c r="AA465" s="149"/>
      <c r="AB465" s="149"/>
      <c r="AC465" s="149"/>
      <c r="AD465" s="149"/>
      <c r="AE465" s="149"/>
      <c r="AF465" s="149"/>
      <c r="AG465" s="149"/>
      <c r="AH465" s="149"/>
      <c r="AI465" s="149"/>
      <c r="AJ465" s="149"/>
      <c r="AK465" s="149"/>
      <c r="AL465" s="149"/>
      <c r="AM465" s="149"/>
      <c r="AN465" s="149"/>
      <c r="AO465" s="149"/>
      <c r="AP465" s="149"/>
      <c r="AQ465" s="149"/>
      <c r="AR465" s="149"/>
      <c r="AS465" s="149"/>
      <c r="AT465" s="149"/>
      <c r="AU465" s="149"/>
      <c r="AV465" s="149"/>
      <c r="AW465" s="149"/>
      <c r="AX465" s="149"/>
      <c r="AY465" s="149"/>
      <c r="AZ465" s="149"/>
      <c r="BA465" s="149"/>
      <c r="BB465" s="149"/>
      <c r="BC465" s="149"/>
      <c r="BD465" s="149"/>
      <c r="BE465" s="149"/>
      <c r="BF465" s="149"/>
      <c r="BG465" s="149"/>
      <c r="BH465" s="149"/>
      <c r="BI465" s="149"/>
      <c r="BJ465" s="149"/>
      <c r="BK465" s="149"/>
      <c r="BL465" s="149"/>
      <c r="BM465" s="149"/>
      <c r="BN465" s="149"/>
      <c r="BO465" s="149"/>
      <c r="BP465" s="149"/>
      <c r="BQ465" s="149"/>
      <c r="BR465" s="149"/>
      <c r="BS465" s="149"/>
      <c r="BT465" s="149"/>
      <c r="BU465" s="149"/>
      <c r="BV465" s="149"/>
      <c r="BW465" s="149"/>
      <c r="BX465" s="149"/>
      <c r="BY465" s="149"/>
      <c r="BZ465" s="149"/>
      <c r="CA465" s="149"/>
      <c r="CB465" s="149"/>
      <c r="CC465" s="149"/>
      <c r="CD465" s="149"/>
      <c r="CE465" s="149"/>
      <c r="CF465" s="149"/>
      <c r="CG465" s="149"/>
      <c r="CH465" s="149"/>
      <c r="CI465" s="149"/>
      <c r="CJ465" s="149"/>
      <c r="CK465" s="149"/>
      <c r="CL465" s="149"/>
      <c r="CM465" s="149"/>
      <c r="CN465" s="149"/>
      <c r="CO465" s="149"/>
      <c r="CP465" s="149"/>
      <c r="CQ465" s="149"/>
      <c r="CR465" s="149"/>
      <c r="CS465" s="149"/>
      <c r="CT465" s="149"/>
      <c r="CU465" s="149"/>
      <c r="CV465" s="149"/>
      <c r="CW465" s="149"/>
      <c r="CX465" s="149"/>
      <c r="CY465" s="149"/>
      <c r="CZ465" s="149"/>
      <c r="DA465" s="149"/>
      <c r="DB465" s="149"/>
      <c r="DC465" s="149"/>
      <c r="DD465" s="149"/>
    </row>
    <row r="466" spans="1:108" x14ac:dyDescent="0.35">
      <c r="A466" s="149"/>
      <c r="E466" s="149"/>
      <c r="F466" s="149"/>
      <c r="G466" s="149"/>
      <c r="H466" s="149"/>
      <c r="I466" s="149"/>
      <c r="J466" s="149"/>
      <c r="K466" s="149"/>
      <c r="L466" s="149"/>
      <c r="M466" s="149"/>
      <c r="N466" s="149"/>
      <c r="O466" s="149"/>
      <c r="P466" s="149"/>
      <c r="Q466" s="149"/>
      <c r="R466" s="149"/>
      <c r="S466" s="149"/>
      <c r="T466" s="149"/>
      <c r="U466" s="149"/>
      <c r="V466" s="149"/>
      <c r="W466" s="149"/>
      <c r="X466" s="149"/>
      <c r="Y466" s="149"/>
      <c r="Z466" s="149"/>
      <c r="AA466" s="149"/>
      <c r="AB466" s="149"/>
      <c r="AC466" s="149"/>
      <c r="AD466" s="149"/>
      <c r="AE466" s="149"/>
      <c r="AF466" s="149"/>
      <c r="AG466" s="149"/>
      <c r="AH466" s="149"/>
      <c r="AI466" s="149"/>
      <c r="AJ466" s="149"/>
      <c r="AK466" s="149"/>
      <c r="AL466" s="149"/>
      <c r="AM466" s="149"/>
      <c r="AN466" s="149"/>
      <c r="AO466" s="149"/>
      <c r="AP466" s="149"/>
      <c r="AQ466" s="149"/>
      <c r="AR466" s="149"/>
      <c r="AS466" s="149"/>
      <c r="AT466" s="149"/>
      <c r="AU466" s="149"/>
      <c r="AV466" s="149"/>
      <c r="AW466" s="149"/>
      <c r="AX466" s="149"/>
      <c r="AY466" s="149"/>
      <c r="AZ466" s="149"/>
      <c r="BA466" s="149"/>
      <c r="BB466" s="149"/>
      <c r="BC466" s="149"/>
      <c r="BD466" s="149"/>
      <c r="BE466" s="149"/>
      <c r="BF466" s="149"/>
      <c r="BG466" s="149"/>
      <c r="BH466" s="149"/>
      <c r="BI466" s="149"/>
      <c r="BJ466" s="149"/>
      <c r="BK466" s="149"/>
      <c r="BL466" s="149"/>
      <c r="BM466" s="149"/>
      <c r="BN466" s="149"/>
      <c r="BO466" s="149"/>
      <c r="BP466" s="149"/>
      <c r="BQ466" s="149"/>
      <c r="BR466" s="149"/>
      <c r="BS466" s="149"/>
      <c r="BT466" s="149"/>
      <c r="BU466" s="149"/>
      <c r="BV466" s="149"/>
      <c r="BW466" s="149"/>
      <c r="BX466" s="149"/>
      <c r="BY466" s="149"/>
      <c r="BZ466" s="149"/>
      <c r="CA466" s="149"/>
      <c r="CB466" s="149"/>
      <c r="CC466" s="149"/>
      <c r="CD466" s="149"/>
      <c r="CE466" s="149"/>
      <c r="CF466" s="149"/>
      <c r="CG466" s="149"/>
      <c r="CH466" s="149"/>
      <c r="CI466" s="149"/>
      <c r="CJ466" s="149"/>
      <c r="CK466" s="149"/>
      <c r="CL466" s="149"/>
      <c r="CM466" s="149"/>
      <c r="CN466" s="149"/>
      <c r="CO466" s="149"/>
      <c r="CP466" s="149"/>
      <c r="CQ466" s="149"/>
      <c r="CR466" s="149"/>
      <c r="CS466" s="149"/>
      <c r="CT466" s="149"/>
      <c r="CU466" s="149"/>
      <c r="CV466" s="149"/>
      <c r="CW466" s="149"/>
      <c r="CX466" s="149"/>
      <c r="CY466" s="149"/>
      <c r="CZ466" s="149"/>
      <c r="DA466" s="149"/>
      <c r="DB466" s="149"/>
      <c r="DC466" s="149"/>
      <c r="DD466" s="149"/>
    </row>
    <row r="467" spans="1:108" x14ac:dyDescent="0.35">
      <c r="A467" s="149"/>
      <c r="E467" s="149"/>
      <c r="F467" s="149"/>
      <c r="G467" s="149"/>
      <c r="H467" s="149"/>
      <c r="I467" s="149"/>
      <c r="J467" s="149"/>
      <c r="K467" s="149"/>
      <c r="L467" s="149"/>
      <c r="M467" s="149"/>
      <c r="N467" s="149"/>
      <c r="O467" s="149"/>
      <c r="P467" s="149"/>
      <c r="Q467" s="149"/>
      <c r="R467" s="149"/>
      <c r="S467" s="149"/>
      <c r="T467" s="149"/>
      <c r="U467" s="149"/>
      <c r="V467" s="149"/>
      <c r="W467" s="149"/>
      <c r="X467" s="149"/>
      <c r="Y467" s="149"/>
      <c r="Z467" s="149"/>
      <c r="AA467" s="149"/>
      <c r="AB467" s="149"/>
      <c r="AC467" s="149"/>
      <c r="AD467" s="149"/>
      <c r="AE467" s="149"/>
      <c r="AF467" s="149"/>
      <c r="AG467" s="149"/>
      <c r="AH467" s="149"/>
      <c r="AI467" s="149"/>
      <c r="AJ467" s="149"/>
      <c r="AK467" s="149"/>
      <c r="AL467" s="149"/>
      <c r="AM467" s="149"/>
      <c r="AN467" s="149"/>
      <c r="AO467" s="149"/>
      <c r="AP467" s="149"/>
      <c r="AQ467" s="149"/>
      <c r="AR467" s="149"/>
      <c r="AS467" s="149"/>
      <c r="AT467" s="149"/>
      <c r="AU467" s="149"/>
      <c r="AV467" s="149"/>
      <c r="AW467" s="149"/>
      <c r="AX467" s="149"/>
      <c r="AY467" s="149"/>
      <c r="AZ467" s="149"/>
      <c r="BA467" s="149"/>
      <c r="BB467" s="149"/>
      <c r="BC467" s="149"/>
      <c r="BD467" s="149"/>
      <c r="BE467" s="149"/>
      <c r="BF467" s="149"/>
      <c r="BG467" s="149"/>
      <c r="BH467" s="149"/>
      <c r="BI467" s="149"/>
      <c r="BJ467" s="149"/>
      <c r="BK467" s="149"/>
      <c r="BL467" s="149"/>
      <c r="BM467" s="149"/>
      <c r="BN467" s="149"/>
      <c r="BO467" s="149"/>
      <c r="BP467" s="149"/>
      <c r="BQ467" s="149"/>
      <c r="BR467" s="149"/>
      <c r="BS467" s="149"/>
      <c r="BT467" s="149"/>
      <c r="BU467" s="149"/>
      <c r="BV467" s="149"/>
      <c r="BW467" s="149"/>
      <c r="BX467" s="149"/>
      <c r="BY467" s="149"/>
      <c r="BZ467" s="149"/>
      <c r="CA467" s="149"/>
      <c r="CB467" s="149"/>
      <c r="CC467" s="149"/>
      <c r="CD467" s="149"/>
      <c r="CE467" s="149"/>
      <c r="CF467" s="149"/>
      <c r="CG467" s="149"/>
      <c r="CH467" s="149"/>
      <c r="CI467" s="149"/>
      <c r="CJ467" s="149"/>
      <c r="CK467" s="149"/>
      <c r="CL467" s="149"/>
      <c r="CM467" s="149"/>
      <c r="CN467" s="149"/>
      <c r="CO467" s="149"/>
      <c r="CP467" s="149"/>
      <c r="CQ467" s="149"/>
      <c r="CR467" s="149"/>
      <c r="CS467" s="149"/>
      <c r="CT467" s="149"/>
      <c r="CU467" s="149"/>
      <c r="CV467" s="149"/>
      <c r="CW467" s="149"/>
      <c r="CX467" s="149"/>
      <c r="CY467" s="149"/>
      <c r="CZ467" s="149"/>
      <c r="DA467" s="149"/>
      <c r="DB467" s="149"/>
      <c r="DC467" s="149"/>
      <c r="DD467" s="149"/>
    </row>
    <row r="468" spans="1:108" x14ac:dyDescent="0.35">
      <c r="A468" s="149"/>
      <c r="E468" s="149"/>
      <c r="F468" s="149"/>
      <c r="G468" s="149"/>
      <c r="H468" s="149"/>
      <c r="I468" s="149"/>
      <c r="J468" s="149"/>
      <c r="K468" s="149"/>
      <c r="L468" s="149"/>
      <c r="M468" s="149"/>
      <c r="N468" s="149"/>
      <c r="O468" s="149"/>
      <c r="P468" s="149"/>
      <c r="Q468" s="149"/>
      <c r="R468" s="149"/>
      <c r="S468" s="149"/>
      <c r="T468" s="149"/>
      <c r="U468" s="149"/>
      <c r="V468" s="149"/>
      <c r="W468" s="149"/>
      <c r="X468" s="149"/>
      <c r="Y468" s="149"/>
      <c r="Z468" s="149"/>
      <c r="AA468" s="149"/>
      <c r="AB468" s="149"/>
      <c r="AC468" s="149"/>
      <c r="AD468" s="149"/>
      <c r="AE468" s="149"/>
      <c r="AF468" s="149"/>
      <c r="AG468" s="149"/>
      <c r="AH468" s="149"/>
      <c r="AI468" s="149"/>
      <c r="AJ468" s="149"/>
      <c r="AK468" s="149"/>
      <c r="AL468" s="149"/>
      <c r="AM468" s="149"/>
      <c r="AN468" s="149"/>
      <c r="AO468" s="149"/>
      <c r="AP468" s="149"/>
      <c r="AQ468" s="149"/>
      <c r="AR468" s="149"/>
      <c r="AS468" s="149"/>
      <c r="AT468" s="149"/>
      <c r="AU468" s="149"/>
      <c r="AV468" s="149"/>
      <c r="AW468" s="149"/>
      <c r="AX468" s="149"/>
      <c r="AY468" s="149"/>
      <c r="AZ468" s="149"/>
      <c r="BA468" s="149"/>
      <c r="BB468" s="149"/>
      <c r="BC468" s="149"/>
      <c r="BD468" s="149"/>
      <c r="BE468" s="149"/>
      <c r="BF468" s="149"/>
      <c r="BG468" s="149"/>
      <c r="BH468" s="149"/>
      <c r="BI468" s="149"/>
      <c r="BJ468" s="149"/>
      <c r="BK468" s="149"/>
      <c r="BL468" s="149"/>
      <c r="BM468" s="149"/>
      <c r="BN468" s="149"/>
      <c r="BO468" s="149"/>
      <c r="BP468" s="149"/>
      <c r="BQ468" s="149"/>
      <c r="BR468" s="149"/>
      <c r="BS468" s="149"/>
      <c r="BT468" s="149"/>
      <c r="BU468" s="149"/>
      <c r="BV468" s="149"/>
      <c r="BW468" s="149"/>
      <c r="BX468" s="149"/>
      <c r="BY468" s="149"/>
      <c r="BZ468" s="149"/>
      <c r="CA468" s="149"/>
      <c r="CB468" s="149"/>
      <c r="CC468" s="149"/>
      <c r="CD468" s="149"/>
      <c r="CE468" s="149"/>
      <c r="CF468" s="149"/>
      <c r="CG468" s="149"/>
      <c r="CH468" s="149"/>
      <c r="CI468" s="149"/>
      <c r="CJ468" s="149"/>
      <c r="CK468" s="149"/>
      <c r="CL468" s="149"/>
      <c r="CM468" s="149"/>
      <c r="CN468" s="149"/>
      <c r="CO468" s="149"/>
      <c r="CP468" s="149"/>
      <c r="CQ468" s="149"/>
      <c r="CR468" s="149"/>
      <c r="CS468" s="149"/>
      <c r="CT468" s="149"/>
      <c r="CU468" s="149"/>
      <c r="CV468" s="149"/>
      <c r="CW468" s="149"/>
      <c r="CX468" s="149"/>
      <c r="CY468" s="149"/>
      <c r="CZ468" s="149"/>
      <c r="DA468" s="149"/>
      <c r="DB468" s="149"/>
      <c r="DC468" s="149"/>
      <c r="DD468" s="149"/>
    </row>
    <row r="469" spans="1:108" x14ac:dyDescent="0.35">
      <c r="A469" s="149"/>
      <c r="E469" s="149"/>
      <c r="F469" s="149"/>
      <c r="G469" s="149"/>
      <c r="H469" s="149"/>
      <c r="I469" s="149"/>
      <c r="J469" s="149"/>
      <c r="K469" s="149"/>
      <c r="L469" s="149"/>
      <c r="M469" s="149"/>
      <c r="N469" s="149"/>
      <c r="O469" s="149"/>
      <c r="P469" s="149"/>
      <c r="Q469" s="149"/>
      <c r="R469" s="149"/>
      <c r="S469" s="149"/>
      <c r="T469" s="149"/>
      <c r="U469" s="149"/>
      <c r="V469" s="149"/>
      <c r="W469" s="149"/>
      <c r="X469" s="149"/>
      <c r="Y469" s="149"/>
      <c r="Z469" s="149"/>
      <c r="AA469" s="149"/>
      <c r="AB469" s="149"/>
      <c r="AC469" s="149"/>
      <c r="AD469" s="149"/>
      <c r="AE469" s="149"/>
      <c r="AF469" s="149"/>
      <c r="AG469" s="149"/>
      <c r="AH469" s="149"/>
      <c r="AI469" s="149"/>
      <c r="AJ469" s="149"/>
      <c r="AK469" s="149"/>
      <c r="AL469" s="149"/>
      <c r="AM469" s="149"/>
      <c r="AN469" s="149"/>
      <c r="AO469" s="149"/>
      <c r="AP469" s="149"/>
      <c r="AQ469" s="149"/>
      <c r="AR469" s="149"/>
      <c r="AS469" s="149"/>
      <c r="AT469" s="149"/>
      <c r="AU469" s="149"/>
      <c r="AV469" s="149"/>
      <c r="AW469" s="149"/>
      <c r="AX469" s="149"/>
      <c r="AY469" s="149"/>
      <c r="AZ469" s="149"/>
      <c r="BA469" s="149"/>
      <c r="BB469" s="149"/>
      <c r="BC469" s="149"/>
      <c r="BD469" s="149"/>
      <c r="BE469" s="149"/>
      <c r="BF469" s="149"/>
      <c r="BG469" s="149"/>
      <c r="BH469" s="149"/>
      <c r="BI469" s="149"/>
      <c r="BJ469" s="149"/>
      <c r="BK469" s="149"/>
      <c r="BL469" s="149"/>
      <c r="BM469" s="149"/>
      <c r="BN469" s="149"/>
      <c r="BO469" s="149"/>
      <c r="BP469" s="149"/>
      <c r="BQ469" s="149"/>
      <c r="BR469" s="149"/>
      <c r="BS469" s="149"/>
      <c r="BT469" s="149"/>
      <c r="BU469" s="149"/>
      <c r="BV469" s="149"/>
      <c r="BW469" s="149"/>
      <c r="BX469" s="149"/>
      <c r="BY469" s="149"/>
      <c r="BZ469" s="149"/>
      <c r="CA469" s="149"/>
      <c r="CB469" s="149"/>
      <c r="CC469" s="149"/>
      <c r="CD469" s="149"/>
      <c r="CE469" s="149"/>
      <c r="CF469" s="149"/>
      <c r="CG469" s="149"/>
      <c r="CH469" s="149"/>
      <c r="CI469" s="149"/>
      <c r="CJ469" s="149"/>
      <c r="CK469" s="149"/>
      <c r="CL469" s="149"/>
      <c r="CM469" s="149"/>
      <c r="CN469" s="149"/>
      <c r="CO469" s="149"/>
      <c r="CP469" s="149"/>
      <c r="CQ469" s="149"/>
      <c r="CR469" s="149"/>
      <c r="CS469" s="149"/>
      <c r="CT469" s="149"/>
      <c r="CU469" s="149"/>
      <c r="CV469" s="149"/>
      <c r="CW469" s="149"/>
      <c r="CX469" s="149"/>
      <c r="CY469" s="149"/>
      <c r="CZ469" s="149"/>
      <c r="DA469" s="149"/>
      <c r="DB469" s="149"/>
      <c r="DC469" s="149"/>
      <c r="DD469" s="149"/>
    </row>
    <row r="470" spans="1:108" x14ac:dyDescent="0.35">
      <c r="A470" s="149"/>
      <c r="E470" s="149"/>
      <c r="F470" s="149"/>
      <c r="G470" s="149"/>
      <c r="H470" s="149"/>
      <c r="I470" s="149"/>
      <c r="J470" s="149"/>
      <c r="K470" s="149"/>
      <c r="L470" s="149"/>
      <c r="M470" s="149"/>
      <c r="N470" s="149"/>
      <c r="O470" s="149"/>
      <c r="P470" s="149"/>
      <c r="Q470" s="149"/>
      <c r="R470" s="149"/>
      <c r="S470" s="149"/>
      <c r="T470" s="149"/>
      <c r="U470" s="149"/>
      <c r="V470" s="149"/>
      <c r="W470" s="149"/>
      <c r="X470" s="149"/>
      <c r="Y470" s="149"/>
      <c r="Z470" s="149"/>
      <c r="AA470" s="149"/>
      <c r="AB470" s="149"/>
      <c r="AC470" s="149"/>
      <c r="AD470" s="149"/>
      <c r="AE470" s="149"/>
      <c r="AF470" s="149"/>
      <c r="AG470" s="149"/>
      <c r="AH470" s="149"/>
      <c r="AI470" s="149"/>
      <c r="AJ470" s="149"/>
      <c r="AK470" s="149"/>
      <c r="AL470" s="149"/>
      <c r="AM470" s="149"/>
      <c r="AN470" s="149"/>
      <c r="AO470" s="149"/>
      <c r="AP470" s="149"/>
      <c r="AQ470" s="149"/>
      <c r="AR470" s="149"/>
      <c r="AS470" s="149"/>
      <c r="AT470" s="149"/>
      <c r="AU470" s="149"/>
      <c r="AV470" s="149"/>
      <c r="AW470" s="149"/>
      <c r="AX470" s="149"/>
      <c r="AY470" s="149"/>
      <c r="AZ470" s="149"/>
      <c r="BA470" s="149"/>
      <c r="BB470" s="149"/>
      <c r="BC470" s="149"/>
      <c r="BD470" s="149"/>
      <c r="BE470" s="149"/>
      <c r="BF470" s="149"/>
      <c r="BG470" s="149"/>
      <c r="BH470" s="149"/>
      <c r="BI470" s="149"/>
      <c r="BJ470" s="149"/>
      <c r="BK470" s="149"/>
      <c r="BL470" s="149"/>
      <c r="BM470" s="149"/>
      <c r="BN470" s="149"/>
      <c r="BO470" s="149"/>
      <c r="BP470" s="149"/>
      <c r="BQ470" s="149"/>
      <c r="BR470" s="149"/>
      <c r="BS470" s="149"/>
      <c r="BT470" s="149"/>
      <c r="BU470" s="149"/>
      <c r="BV470" s="149"/>
      <c r="BW470" s="149"/>
      <c r="BX470" s="149"/>
      <c r="BY470" s="149"/>
      <c r="BZ470" s="149"/>
      <c r="CA470" s="149"/>
      <c r="CB470" s="149"/>
      <c r="CC470" s="149"/>
      <c r="CD470" s="149"/>
      <c r="CE470" s="149"/>
      <c r="CF470" s="149"/>
      <c r="CG470" s="149"/>
      <c r="CH470" s="149"/>
      <c r="CI470" s="149"/>
      <c r="CJ470" s="149"/>
      <c r="CK470" s="149"/>
      <c r="CL470" s="149"/>
      <c r="CM470" s="149"/>
      <c r="CN470" s="149"/>
      <c r="CO470" s="149"/>
      <c r="CP470" s="149"/>
      <c r="CQ470" s="149"/>
      <c r="CR470" s="149"/>
      <c r="CS470" s="149"/>
      <c r="CT470" s="149"/>
      <c r="CU470" s="149"/>
      <c r="CV470" s="149"/>
      <c r="CW470" s="149"/>
      <c r="CX470" s="149"/>
      <c r="CY470" s="149"/>
      <c r="CZ470" s="149"/>
      <c r="DA470" s="149"/>
      <c r="DB470" s="149"/>
      <c r="DC470" s="149"/>
      <c r="DD470" s="149"/>
    </row>
    <row r="471" spans="1:108" x14ac:dyDescent="0.35">
      <c r="A471" s="149"/>
      <c r="E471" s="149"/>
      <c r="F471" s="149"/>
      <c r="G471" s="149"/>
      <c r="H471" s="149"/>
      <c r="I471" s="149"/>
      <c r="J471" s="149"/>
      <c r="K471" s="149"/>
      <c r="L471" s="149"/>
      <c r="M471" s="149"/>
      <c r="N471" s="149"/>
      <c r="O471" s="149"/>
      <c r="P471" s="149"/>
      <c r="Q471" s="149"/>
      <c r="R471" s="149"/>
      <c r="S471" s="149"/>
      <c r="T471" s="149"/>
      <c r="U471" s="149"/>
      <c r="V471" s="149"/>
      <c r="W471" s="149"/>
      <c r="X471" s="149"/>
      <c r="Y471" s="149"/>
      <c r="Z471" s="149"/>
      <c r="AA471" s="149"/>
      <c r="AB471" s="149"/>
      <c r="AC471" s="149"/>
      <c r="AD471" s="149"/>
      <c r="AE471" s="149"/>
      <c r="AF471" s="149"/>
      <c r="AG471" s="149"/>
      <c r="AH471" s="149"/>
      <c r="AI471" s="149"/>
      <c r="AJ471" s="149"/>
      <c r="AK471" s="149"/>
      <c r="AL471" s="149"/>
      <c r="AM471" s="149"/>
      <c r="AN471" s="149"/>
      <c r="AO471" s="149"/>
      <c r="AP471" s="149"/>
      <c r="AQ471" s="149"/>
      <c r="AR471" s="149"/>
      <c r="AS471" s="149"/>
      <c r="AT471" s="149"/>
      <c r="AU471" s="149"/>
      <c r="AV471" s="149"/>
      <c r="AW471" s="149"/>
      <c r="AX471" s="149"/>
      <c r="AY471" s="149"/>
      <c r="AZ471" s="149"/>
      <c r="BA471" s="149"/>
      <c r="BB471" s="149"/>
      <c r="BC471" s="149"/>
      <c r="BD471" s="149"/>
      <c r="BE471" s="149"/>
      <c r="BF471" s="149"/>
      <c r="BG471" s="149"/>
      <c r="BH471" s="149"/>
      <c r="BI471" s="149"/>
      <c r="BJ471" s="149"/>
      <c r="BK471" s="149"/>
      <c r="BL471" s="149"/>
      <c r="BM471" s="149"/>
      <c r="BN471" s="149"/>
      <c r="BO471" s="149"/>
      <c r="BP471" s="149"/>
      <c r="BQ471" s="149"/>
      <c r="BR471" s="149"/>
      <c r="BS471" s="149"/>
      <c r="BT471" s="149"/>
      <c r="BU471" s="149"/>
      <c r="BV471" s="149"/>
      <c r="BW471" s="149"/>
      <c r="BX471" s="149"/>
      <c r="BY471" s="149"/>
      <c r="BZ471" s="149"/>
      <c r="CA471" s="149"/>
      <c r="CB471" s="149"/>
      <c r="CC471" s="149"/>
      <c r="CD471" s="149"/>
      <c r="CE471" s="149"/>
      <c r="CF471" s="149"/>
      <c r="CG471" s="149"/>
      <c r="CH471" s="149"/>
      <c r="CI471" s="149"/>
      <c r="CJ471" s="149"/>
      <c r="CK471" s="149"/>
      <c r="CL471" s="149"/>
      <c r="CM471" s="149"/>
      <c r="CN471" s="149"/>
      <c r="CO471" s="149"/>
      <c r="CP471" s="149"/>
      <c r="CQ471" s="149"/>
      <c r="CR471" s="149"/>
      <c r="CS471" s="149"/>
      <c r="CT471" s="149"/>
      <c r="CU471" s="149"/>
      <c r="CV471" s="149"/>
      <c r="CW471" s="149"/>
      <c r="CX471" s="149"/>
      <c r="CY471" s="149"/>
      <c r="CZ471" s="149"/>
      <c r="DA471" s="149"/>
      <c r="DB471" s="149"/>
      <c r="DC471" s="149"/>
      <c r="DD471" s="149"/>
    </row>
    <row r="472" spans="1:108" x14ac:dyDescent="0.35">
      <c r="A472" s="149"/>
      <c r="E472" s="149"/>
      <c r="F472" s="149"/>
      <c r="G472" s="149"/>
      <c r="H472" s="149"/>
      <c r="I472" s="149"/>
      <c r="J472" s="149"/>
      <c r="K472" s="149"/>
      <c r="L472" s="149"/>
      <c r="M472" s="149"/>
      <c r="N472" s="149"/>
      <c r="O472" s="149"/>
      <c r="P472" s="149"/>
      <c r="Q472" s="149"/>
      <c r="R472" s="149"/>
      <c r="S472" s="149"/>
      <c r="T472" s="149"/>
      <c r="U472" s="149"/>
      <c r="V472" s="149"/>
      <c r="W472" s="149"/>
      <c r="X472" s="149"/>
      <c r="Y472" s="149"/>
      <c r="Z472" s="149"/>
      <c r="AA472" s="149"/>
      <c r="AB472" s="149"/>
      <c r="AC472" s="149"/>
      <c r="AD472" s="149"/>
      <c r="AE472" s="149"/>
      <c r="AF472" s="149"/>
      <c r="AG472" s="149"/>
      <c r="AH472" s="149"/>
      <c r="AI472" s="149"/>
      <c r="AJ472" s="149"/>
      <c r="AK472" s="149"/>
      <c r="AL472" s="149"/>
      <c r="AM472" s="149"/>
      <c r="AN472" s="149"/>
      <c r="AO472" s="149"/>
      <c r="AP472" s="149"/>
      <c r="AQ472" s="149"/>
      <c r="AR472" s="149"/>
      <c r="AS472" s="149"/>
      <c r="AT472" s="149"/>
      <c r="AU472" s="149"/>
      <c r="AV472" s="149"/>
      <c r="AW472" s="149"/>
      <c r="AX472" s="149"/>
      <c r="AY472" s="149"/>
      <c r="AZ472" s="149"/>
      <c r="BA472" s="149"/>
      <c r="BB472" s="149"/>
      <c r="BC472" s="149"/>
      <c r="BD472" s="149"/>
      <c r="BE472" s="149"/>
      <c r="BF472" s="149"/>
      <c r="BG472" s="149"/>
      <c r="BH472" s="149"/>
      <c r="BI472" s="149"/>
      <c r="BJ472" s="149"/>
      <c r="BK472" s="149"/>
      <c r="BL472" s="149"/>
      <c r="BM472" s="149"/>
      <c r="BN472" s="149"/>
      <c r="BO472" s="149"/>
      <c r="BP472" s="149"/>
      <c r="BQ472" s="149"/>
      <c r="BR472" s="149"/>
      <c r="BS472" s="149"/>
      <c r="BT472" s="149"/>
      <c r="BU472" s="149"/>
      <c r="BV472" s="149"/>
      <c r="BW472" s="149"/>
      <c r="BX472" s="149"/>
      <c r="BY472" s="149"/>
      <c r="BZ472" s="149"/>
      <c r="CA472" s="149"/>
      <c r="CB472" s="149"/>
      <c r="CC472" s="149"/>
      <c r="CD472" s="149"/>
      <c r="CE472" s="149"/>
      <c r="CF472" s="149"/>
      <c r="CG472" s="149"/>
      <c r="CH472" s="149"/>
      <c r="CI472" s="149"/>
      <c r="CJ472" s="149"/>
      <c r="CK472" s="149"/>
      <c r="CL472" s="149"/>
      <c r="CM472" s="149"/>
      <c r="CN472" s="149"/>
      <c r="CO472" s="149"/>
      <c r="CP472" s="149"/>
      <c r="CQ472" s="149"/>
      <c r="CR472" s="149"/>
      <c r="CS472" s="149"/>
      <c r="CT472" s="149"/>
      <c r="CU472" s="149"/>
      <c r="CV472" s="149"/>
      <c r="CW472" s="149"/>
      <c r="CX472" s="149"/>
      <c r="CY472" s="149"/>
      <c r="CZ472" s="149"/>
      <c r="DA472" s="149"/>
      <c r="DB472" s="149"/>
      <c r="DC472" s="149"/>
      <c r="DD472" s="149"/>
    </row>
    <row r="473" spans="1:108" x14ac:dyDescent="0.35">
      <c r="A473" s="149"/>
      <c r="E473" s="149"/>
      <c r="F473" s="149"/>
      <c r="G473" s="149"/>
      <c r="H473" s="149"/>
      <c r="I473" s="149"/>
      <c r="J473" s="149"/>
      <c r="K473" s="149"/>
      <c r="L473" s="149"/>
      <c r="M473" s="149"/>
      <c r="N473" s="149"/>
      <c r="O473" s="149"/>
      <c r="P473" s="149"/>
      <c r="Q473" s="149"/>
      <c r="R473" s="149"/>
      <c r="S473" s="149"/>
      <c r="T473" s="149"/>
      <c r="U473" s="149"/>
      <c r="V473" s="149"/>
      <c r="W473" s="149"/>
      <c r="X473" s="149"/>
      <c r="Y473" s="149"/>
      <c r="Z473" s="149"/>
      <c r="AA473" s="149"/>
      <c r="AB473" s="149"/>
      <c r="AC473" s="149"/>
      <c r="AD473" s="149"/>
      <c r="AE473" s="149"/>
      <c r="AF473" s="149"/>
      <c r="AG473" s="149"/>
      <c r="AH473" s="149"/>
      <c r="AI473" s="149"/>
      <c r="AJ473" s="149"/>
      <c r="AK473" s="149"/>
      <c r="AL473" s="149"/>
      <c r="AM473" s="149"/>
      <c r="AN473" s="149"/>
      <c r="AO473" s="149"/>
      <c r="AP473" s="149"/>
      <c r="AQ473" s="149"/>
      <c r="AR473" s="149"/>
      <c r="AS473" s="149"/>
      <c r="AT473" s="149"/>
      <c r="AU473" s="149"/>
      <c r="AV473" s="149"/>
      <c r="AW473" s="149"/>
      <c r="AX473" s="149"/>
      <c r="AY473" s="149"/>
      <c r="AZ473" s="149"/>
      <c r="BA473" s="149"/>
      <c r="BB473" s="149"/>
      <c r="BC473" s="149"/>
      <c r="BD473" s="149"/>
      <c r="BE473" s="149"/>
      <c r="BF473" s="149"/>
      <c r="BG473" s="149"/>
      <c r="BH473" s="149"/>
      <c r="BI473" s="149"/>
      <c r="BJ473" s="149"/>
      <c r="BK473" s="149"/>
      <c r="BL473" s="149"/>
      <c r="BM473" s="149"/>
      <c r="BN473" s="149"/>
      <c r="BO473" s="149"/>
      <c r="BP473" s="149"/>
      <c r="BQ473" s="149"/>
      <c r="BR473" s="149"/>
      <c r="BS473" s="149"/>
      <c r="BT473" s="149"/>
      <c r="BU473" s="149"/>
      <c r="BV473" s="149"/>
      <c r="BW473" s="149"/>
      <c r="BX473" s="149"/>
      <c r="BY473" s="149"/>
      <c r="BZ473" s="149"/>
      <c r="CA473" s="149"/>
      <c r="CB473" s="149"/>
      <c r="CC473" s="149"/>
      <c r="CD473" s="149"/>
      <c r="CE473" s="149"/>
      <c r="CF473" s="149"/>
      <c r="CG473" s="149"/>
      <c r="CH473" s="149"/>
      <c r="CI473" s="149"/>
      <c r="CJ473" s="149"/>
      <c r="CK473" s="149"/>
      <c r="CL473" s="149"/>
      <c r="CM473" s="149"/>
      <c r="CN473" s="149"/>
      <c r="CO473" s="149"/>
      <c r="CP473" s="149"/>
      <c r="CQ473" s="149"/>
      <c r="CR473" s="149"/>
      <c r="CS473" s="149"/>
      <c r="CT473" s="149"/>
      <c r="CU473" s="149"/>
      <c r="CV473" s="149"/>
      <c r="CW473" s="149"/>
      <c r="CX473" s="149"/>
      <c r="CY473" s="149"/>
      <c r="CZ473" s="149"/>
      <c r="DA473" s="149"/>
      <c r="DB473" s="149"/>
      <c r="DC473" s="149"/>
      <c r="DD473" s="149"/>
    </row>
    <row r="474" spans="1:108" x14ac:dyDescent="0.35">
      <c r="A474" s="149"/>
      <c r="E474" s="149"/>
      <c r="F474" s="149"/>
      <c r="G474" s="149"/>
      <c r="H474" s="149"/>
      <c r="I474" s="149"/>
      <c r="J474" s="149"/>
      <c r="K474" s="149"/>
      <c r="L474" s="149"/>
      <c r="M474" s="149"/>
      <c r="N474" s="149"/>
      <c r="O474" s="149"/>
      <c r="P474" s="149"/>
      <c r="Q474" s="149"/>
      <c r="R474" s="149"/>
      <c r="S474" s="149"/>
      <c r="T474" s="149"/>
      <c r="U474" s="149"/>
      <c r="V474" s="149"/>
      <c r="W474" s="149"/>
      <c r="X474" s="149"/>
      <c r="Y474" s="149"/>
      <c r="Z474" s="149"/>
      <c r="AA474" s="149"/>
      <c r="AB474" s="149"/>
      <c r="AC474" s="149"/>
      <c r="AD474" s="149"/>
      <c r="AE474" s="149"/>
      <c r="AF474" s="149"/>
      <c r="AG474" s="149"/>
      <c r="AH474" s="149"/>
      <c r="AI474" s="149"/>
      <c r="AJ474" s="149"/>
      <c r="AK474" s="149"/>
      <c r="AL474" s="149"/>
      <c r="AM474" s="149"/>
      <c r="AN474" s="149"/>
      <c r="AO474" s="149"/>
      <c r="AP474" s="149"/>
      <c r="AQ474" s="149"/>
      <c r="AR474" s="149"/>
      <c r="AS474" s="149"/>
      <c r="AT474" s="149"/>
      <c r="AU474" s="149"/>
      <c r="AV474" s="149"/>
      <c r="AW474" s="149"/>
      <c r="AX474" s="149"/>
      <c r="AY474" s="149"/>
      <c r="AZ474" s="149"/>
      <c r="BA474" s="149"/>
      <c r="BB474" s="149"/>
      <c r="BC474" s="149"/>
      <c r="BD474" s="149"/>
      <c r="BE474" s="149"/>
      <c r="BF474" s="149"/>
      <c r="BG474" s="149"/>
      <c r="BH474" s="149"/>
      <c r="BI474" s="149"/>
      <c r="BJ474" s="149"/>
      <c r="BK474" s="149"/>
      <c r="BL474" s="149"/>
      <c r="BM474" s="149"/>
      <c r="BN474" s="149"/>
      <c r="BO474" s="149"/>
      <c r="BP474" s="149"/>
      <c r="BQ474" s="149"/>
      <c r="BR474" s="149"/>
      <c r="BS474" s="149"/>
      <c r="BT474" s="149"/>
      <c r="BU474" s="149"/>
      <c r="BV474" s="149"/>
      <c r="BW474" s="149"/>
      <c r="BX474" s="149"/>
      <c r="BY474" s="149"/>
      <c r="BZ474" s="149"/>
      <c r="CA474" s="149"/>
      <c r="CB474" s="149"/>
      <c r="CC474" s="149"/>
      <c r="CD474" s="149"/>
      <c r="CE474" s="149"/>
      <c r="CF474" s="149"/>
      <c r="CG474" s="149"/>
      <c r="CH474" s="149"/>
      <c r="CI474" s="149"/>
      <c r="CJ474" s="149"/>
      <c r="CK474" s="149"/>
      <c r="CL474" s="149"/>
      <c r="CM474" s="149"/>
      <c r="CN474" s="149"/>
      <c r="CO474" s="149"/>
      <c r="CP474" s="149"/>
      <c r="CQ474" s="149"/>
      <c r="CR474" s="149"/>
      <c r="CS474" s="149"/>
      <c r="CT474" s="149"/>
      <c r="CU474" s="149"/>
      <c r="CV474" s="149"/>
      <c r="CW474" s="149"/>
      <c r="CX474" s="149"/>
      <c r="CY474" s="149"/>
      <c r="CZ474" s="149"/>
      <c r="DA474" s="149"/>
      <c r="DB474" s="149"/>
      <c r="DC474" s="149"/>
      <c r="DD474" s="149"/>
    </row>
    <row r="475" spans="1:108" x14ac:dyDescent="0.35">
      <c r="A475" s="149"/>
      <c r="E475" s="149"/>
      <c r="F475" s="149"/>
      <c r="G475" s="149"/>
      <c r="H475" s="149"/>
      <c r="I475" s="149"/>
      <c r="J475" s="149"/>
      <c r="K475" s="149"/>
      <c r="L475" s="149"/>
      <c r="M475" s="149"/>
      <c r="N475" s="149"/>
      <c r="O475" s="149"/>
      <c r="P475" s="149"/>
      <c r="Q475" s="149"/>
      <c r="R475" s="149"/>
      <c r="S475" s="149"/>
      <c r="T475" s="149"/>
      <c r="U475" s="149"/>
      <c r="V475" s="149"/>
      <c r="W475" s="149"/>
      <c r="X475" s="149"/>
      <c r="Y475" s="149"/>
      <c r="Z475" s="149"/>
      <c r="AA475" s="149"/>
      <c r="AB475" s="149"/>
      <c r="AC475" s="149"/>
      <c r="AD475" s="149"/>
      <c r="AE475" s="149"/>
      <c r="AF475" s="149"/>
      <c r="AG475" s="149"/>
      <c r="AH475" s="149"/>
      <c r="AI475" s="149"/>
      <c r="AJ475" s="149"/>
      <c r="AK475" s="149"/>
      <c r="AL475" s="149"/>
      <c r="AM475" s="149"/>
      <c r="AN475" s="149"/>
      <c r="AO475" s="149"/>
      <c r="AP475" s="149"/>
      <c r="AQ475" s="149"/>
      <c r="AR475" s="149"/>
      <c r="AS475" s="149"/>
      <c r="AT475" s="149"/>
      <c r="AU475" s="149"/>
      <c r="AV475" s="149"/>
      <c r="AW475" s="149"/>
      <c r="AX475" s="149"/>
      <c r="AY475" s="149"/>
      <c r="AZ475" s="149"/>
      <c r="BA475" s="149"/>
      <c r="BB475" s="149"/>
      <c r="BC475" s="149"/>
      <c r="BD475" s="149"/>
      <c r="BE475" s="149"/>
      <c r="BF475" s="149"/>
      <c r="BG475" s="149"/>
      <c r="BH475" s="149"/>
      <c r="BI475" s="149"/>
      <c r="BJ475" s="149"/>
      <c r="BK475" s="149"/>
      <c r="BL475" s="149"/>
      <c r="BM475" s="149"/>
      <c r="BN475" s="149"/>
      <c r="BO475" s="149"/>
      <c r="BP475" s="149"/>
      <c r="BQ475" s="149"/>
      <c r="BR475" s="149"/>
      <c r="BS475" s="149"/>
      <c r="BT475" s="149"/>
      <c r="BU475" s="149"/>
      <c r="BV475" s="149"/>
      <c r="BW475" s="149"/>
      <c r="BX475" s="149"/>
      <c r="BY475" s="149"/>
      <c r="BZ475" s="149"/>
      <c r="CA475" s="149"/>
      <c r="CB475" s="149"/>
      <c r="CC475" s="149"/>
      <c r="CD475" s="149"/>
      <c r="CE475" s="149"/>
      <c r="CF475" s="149"/>
      <c r="CG475" s="149"/>
      <c r="CH475" s="149"/>
      <c r="CI475" s="149"/>
      <c r="CJ475" s="149"/>
      <c r="CK475" s="149"/>
      <c r="CL475" s="149"/>
      <c r="CM475" s="149"/>
      <c r="CN475" s="149"/>
      <c r="CO475" s="149"/>
      <c r="CP475" s="149"/>
      <c r="CQ475" s="149"/>
      <c r="CR475" s="149"/>
      <c r="CS475" s="149"/>
      <c r="CT475" s="149"/>
      <c r="CU475" s="149"/>
      <c r="CV475" s="149"/>
      <c r="CW475" s="149"/>
      <c r="CX475" s="149"/>
      <c r="CY475" s="149"/>
      <c r="CZ475" s="149"/>
      <c r="DA475" s="149"/>
      <c r="DB475" s="149"/>
      <c r="DC475" s="149"/>
      <c r="DD475" s="149"/>
    </row>
    <row r="476" spans="1:108" x14ac:dyDescent="0.35">
      <c r="A476" s="149"/>
      <c r="E476" s="149"/>
      <c r="F476" s="149"/>
      <c r="G476" s="149"/>
      <c r="H476" s="149"/>
      <c r="I476" s="149"/>
      <c r="J476" s="149"/>
      <c r="K476" s="149"/>
      <c r="L476" s="149"/>
      <c r="M476" s="149"/>
      <c r="N476" s="149"/>
      <c r="O476" s="149"/>
      <c r="P476" s="149"/>
      <c r="Q476" s="149"/>
      <c r="R476" s="149"/>
      <c r="S476" s="149"/>
      <c r="T476" s="149"/>
      <c r="U476" s="149"/>
      <c r="V476" s="149"/>
      <c r="W476" s="149"/>
      <c r="X476" s="149"/>
      <c r="Y476" s="149"/>
      <c r="Z476" s="149"/>
      <c r="AA476" s="149"/>
      <c r="AB476" s="149"/>
      <c r="AC476" s="149"/>
      <c r="AD476" s="149"/>
      <c r="AE476" s="149"/>
      <c r="AF476" s="149"/>
      <c r="AG476" s="149"/>
      <c r="AH476" s="149"/>
      <c r="AI476" s="149"/>
      <c r="AJ476" s="149"/>
      <c r="AK476" s="149"/>
      <c r="AL476" s="149"/>
      <c r="AM476" s="149"/>
      <c r="AN476" s="149"/>
      <c r="AO476" s="149"/>
      <c r="AP476" s="149"/>
      <c r="AQ476" s="149"/>
      <c r="AR476" s="149"/>
      <c r="AS476" s="149"/>
      <c r="AT476" s="149"/>
      <c r="AU476" s="149"/>
      <c r="AV476" s="149"/>
      <c r="AW476" s="149"/>
      <c r="AX476" s="149"/>
      <c r="AY476" s="149"/>
      <c r="AZ476" s="149"/>
      <c r="BA476" s="149"/>
      <c r="BB476" s="149"/>
      <c r="BC476" s="149"/>
      <c r="BD476" s="149"/>
      <c r="BE476" s="149"/>
      <c r="BF476" s="149"/>
      <c r="BG476" s="149"/>
      <c r="BH476" s="149"/>
      <c r="BI476" s="149"/>
      <c r="BJ476" s="149"/>
      <c r="BK476" s="149"/>
      <c r="BL476" s="149"/>
      <c r="BM476" s="149"/>
      <c r="BN476" s="149"/>
      <c r="BO476" s="149"/>
      <c r="BP476" s="149"/>
      <c r="BQ476" s="149"/>
      <c r="BR476" s="149"/>
      <c r="BS476" s="149"/>
      <c r="BT476" s="149"/>
      <c r="BU476" s="149"/>
      <c r="BV476" s="149"/>
      <c r="BW476" s="149"/>
      <c r="BX476" s="149"/>
      <c r="BY476" s="149"/>
      <c r="BZ476" s="149"/>
      <c r="CA476" s="149"/>
      <c r="CB476" s="149"/>
      <c r="CC476" s="149"/>
      <c r="CD476" s="149"/>
      <c r="CE476" s="149"/>
      <c r="CF476" s="149"/>
      <c r="CG476" s="149"/>
      <c r="CH476" s="149"/>
      <c r="CI476" s="149"/>
      <c r="CJ476" s="149"/>
      <c r="CK476" s="149"/>
      <c r="CL476" s="149"/>
      <c r="CM476" s="149"/>
      <c r="CN476" s="149"/>
      <c r="CO476" s="149"/>
      <c r="CP476" s="149"/>
      <c r="CQ476" s="149"/>
      <c r="CR476" s="149"/>
      <c r="CS476" s="149"/>
      <c r="CT476" s="149"/>
      <c r="CU476" s="149"/>
      <c r="CV476" s="149"/>
      <c r="CW476" s="149"/>
      <c r="CX476" s="149"/>
      <c r="CY476" s="149"/>
      <c r="CZ476" s="149"/>
      <c r="DA476" s="149"/>
      <c r="DB476" s="149"/>
      <c r="DC476" s="149"/>
      <c r="DD476" s="149"/>
    </row>
    <row r="477" spans="1:108" x14ac:dyDescent="0.35">
      <c r="A477" s="149"/>
      <c r="E477" s="149"/>
      <c r="F477" s="149"/>
      <c r="G477" s="149"/>
      <c r="H477" s="149"/>
      <c r="I477" s="149"/>
      <c r="J477" s="149"/>
      <c r="K477" s="149"/>
      <c r="L477" s="149"/>
      <c r="M477" s="149"/>
      <c r="N477" s="149"/>
      <c r="O477" s="149"/>
      <c r="P477" s="149"/>
      <c r="Q477" s="149"/>
      <c r="R477" s="149"/>
      <c r="S477" s="149"/>
      <c r="T477" s="149"/>
      <c r="U477" s="149"/>
      <c r="V477" s="149"/>
      <c r="W477" s="149"/>
      <c r="X477" s="149"/>
      <c r="Y477" s="149"/>
      <c r="Z477" s="149"/>
      <c r="AA477" s="149"/>
      <c r="AB477" s="149"/>
      <c r="AC477" s="149"/>
      <c r="AD477" s="149"/>
      <c r="AE477" s="149"/>
      <c r="AF477" s="149"/>
      <c r="AG477" s="149"/>
      <c r="AH477" s="149"/>
      <c r="AI477" s="149"/>
      <c r="AJ477" s="149"/>
      <c r="AK477" s="149"/>
      <c r="AL477" s="149"/>
      <c r="AM477" s="149"/>
      <c r="AN477" s="149"/>
      <c r="AO477" s="149"/>
      <c r="AP477" s="149"/>
      <c r="AQ477" s="149"/>
      <c r="AR477" s="149"/>
      <c r="AS477" s="149"/>
      <c r="AT477" s="149"/>
      <c r="AU477" s="149"/>
      <c r="AV477" s="149"/>
      <c r="AW477" s="149"/>
      <c r="AX477" s="149"/>
      <c r="AY477" s="149"/>
      <c r="AZ477" s="149"/>
      <c r="BA477" s="149"/>
      <c r="BB477" s="149"/>
      <c r="BC477" s="149"/>
      <c r="BD477" s="149"/>
      <c r="BE477" s="149"/>
      <c r="BF477" s="149"/>
      <c r="BG477" s="149"/>
      <c r="BH477" s="149"/>
      <c r="BI477" s="149"/>
      <c r="BJ477" s="149"/>
      <c r="BK477" s="149"/>
      <c r="BL477" s="149"/>
      <c r="BM477" s="149"/>
      <c r="BN477" s="149"/>
      <c r="BO477" s="149"/>
      <c r="BP477" s="149"/>
      <c r="BQ477" s="149"/>
      <c r="BR477" s="149"/>
      <c r="BS477" s="149"/>
      <c r="BT477" s="149"/>
      <c r="BU477" s="149"/>
      <c r="BV477" s="149"/>
      <c r="BW477" s="149"/>
      <c r="BX477" s="149"/>
      <c r="BY477" s="149"/>
      <c r="BZ477" s="149"/>
      <c r="CA477" s="149"/>
      <c r="CB477" s="149"/>
      <c r="CC477" s="149"/>
      <c r="CD477" s="149"/>
      <c r="CE477" s="149"/>
      <c r="CF477" s="149"/>
      <c r="CG477" s="149"/>
      <c r="CH477" s="149"/>
      <c r="CI477" s="149"/>
      <c r="CJ477" s="149"/>
      <c r="CK477" s="149"/>
      <c r="CL477" s="149"/>
      <c r="CM477" s="149"/>
      <c r="CN477" s="149"/>
      <c r="CO477" s="149"/>
      <c r="CP477" s="149"/>
      <c r="CQ477" s="149"/>
      <c r="CR477" s="149"/>
      <c r="CS477" s="149"/>
      <c r="CT477" s="149"/>
      <c r="CU477" s="149"/>
      <c r="CV477" s="149"/>
      <c r="CW477" s="149"/>
      <c r="CX477" s="149"/>
      <c r="CY477" s="149"/>
      <c r="CZ477" s="149"/>
      <c r="DA477" s="149"/>
      <c r="DB477" s="149"/>
      <c r="DC477" s="149"/>
      <c r="DD477" s="149"/>
    </row>
    <row r="478" spans="1:108" x14ac:dyDescent="0.35">
      <c r="A478" s="149"/>
      <c r="E478" s="149"/>
      <c r="F478" s="149"/>
      <c r="G478" s="149"/>
      <c r="H478" s="149"/>
      <c r="I478" s="149"/>
      <c r="J478" s="149"/>
      <c r="K478" s="149"/>
      <c r="L478" s="149"/>
      <c r="M478" s="149"/>
      <c r="N478" s="149"/>
      <c r="O478" s="149"/>
      <c r="P478" s="149"/>
      <c r="Q478" s="149"/>
      <c r="R478" s="149"/>
      <c r="S478" s="149"/>
      <c r="T478" s="149"/>
      <c r="U478" s="149"/>
      <c r="V478" s="149"/>
      <c r="W478" s="149"/>
      <c r="X478" s="149"/>
      <c r="Y478" s="149"/>
      <c r="Z478" s="149"/>
      <c r="AA478" s="149"/>
      <c r="AB478" s="149"/>
      <c r="AC478" s="149"/>
      <c r="AD478" s="149"/>
      <c r="AE478" s="149"/>
      <c r="AF478" s="149"/>
      <c r="AG478" s="149"/>
      <c r="AH478" s="149"/>
      <c r="AI478" s="149"/>
      <c r="AJ478" s="149"/>
      <c r="AK478" s="149"/>
      <c r="AL478" s="149"/>
      <c r="AM478" s="149"/>
      <c r="AN478" s="149"/>
      <c r="AO478" s="149"/>
      <c r="AP478" s="149"/>
      <c r="AQ478" s="149"/>
      <c r="AR478" s="149"/>
      <c r="AS478" s="149"/>
      <c r="AT478" s="149"/>
      <c r="AU478" s="149"/>
      <c r="AV478" s="149"/>
      <c r="AW478" s="149"/>
      <c r="AX478" s="149"/>
      <c r="AY478" s="149"/>
      <c r="AZ478" s="149"/>
      <c r="BA478" s="149"/>
      <c r="BB478" s="149"/>
      <c r="BC478" s="149"/>
      <c r="BD478" s="149"/>
      <c r="BE478" s="149"/>
      <c r="BF478" s="149"/>
      <c r="BG478" s="149"/>
      <c r="BH478" s="149"/>
      <c r="BI478" s="149"/>
      <c r="BJ478" s="149"/>
      <c r="BK478" s="149"/>
      <c r="BL478" s="149"/>
      <c r="BM478" s="149"/>
      <c r="BN478" s="149"/>
      <c r="BO478" s="149"/>
      <c r="BP478" s="149"/>
      <c r="BQ478" s="149"/>
      <c r="BR478" s="149"/>
      <c r="BS478" s="149"/>
      <c r="BT478" s="149"/>
      <c r="BU478" s="149"/>
      <c r="BV478" s="149"/>
      <c r="BW478" s="149"/>
      <c r="BX478" s="149"/>
      <c r="BY478" s="149"/>
      <c r="BZ478" s="149"/>
      <c r="CA478" s="149"/>
      <c r="CB478" s="149"/>
      <c r="CC478" s="149"/>
      <c r="CD478" s="149"/>
      <c r="CE478" s="149"/>
      <c r="CF478" s="149"/>
      <c r="CG478" s="149"/>
      <c r="CH478" s="149"/>
      <c r="CI478" s="149"/>
      <c r="CJ478" s="149"/>
      <c r="CK478" s="149"/>
      <c r="CL478" s="149"/>
      <c r="CM478" s="149"/>
      <c r="CN478" s="149"/>
      <c r="CO478" s="149"/>
      <c r="CP478" s="149"/>
      <c r="CQ478" s="149"/>
      <c r="CR478" s="149"/>
      <c r="CS478" s="149"/>
      <c r="CT478" s="149"/>
      <c r="CU478" s="149"/>
      <c r="CV478" s="149"/>
      <c r="CW478" s="149"/>
      <c r="CX478" s="149"/>
      <c r="CY478" s="149"/>
      <c r="CZ478" s="149"/>
      <c r="DA478" s="149"/>
      <c r="DB478" s="149"/>
      <c r="DC478" s="149"/>
      <c r="DD478" s="149"/>
    </row>
    <row r="479" spans="1:108" x14ac:dyDescent="0.35">
      <c r="A479" s="149"/>
      <c r="E479" s="149"/>
      <c r="F479" s="149"/>
      <c r="G479" s="149"/>
      <c r="H479" s="149"/>
      <c r="I479" s="149"/>
      <c r="J479" s="149"/>
      <c r="K479" s="149"/>
      <c r="L479" s="149"/>
      <c r="M479" s="149"/>
      <c r="N479" s="149"/>
      <c r="O479" s="149"/>
      <c r="P479" s="149"/>
      <c r="Q479" s="149"/>
      <c r="R479" s="149"/>
      <c r="S479" s="149"/>
      <c r="T479" s="149"/>
      <c r="U479" s="149"/>
      <c r="V479" s="149"/>
      <c r="W479" s="149"/>
      <c r="X479" s="149"/>
      <c r="Y479" s="149"/>
      <c r="Z479" s="149"/>
      <c r="AA479" s="149"/>
      <c r="AB479" s="149"/>
      <c r="AC479" s="149"/>
      <c r="AD479" s="149"/>
      <c r="AE479" s="149"/>
      <c r="AF479" s="149"/>
      <c r="AG479" s="149"/>
      <c r="AH479" s="149"/>
      <c r="AI479" s="149"/>
      <c r="AJ479" s="149"/>
      <c r="AK479" s="149"/>
      <c r="AL479" s="149"/>
      <c r="AM479" s="149"/>
      <c r="AN479" s="149"/>
      <c r="AO479" s="149"/>
      <c r="AP479" s="149"/>
      <c r="AQ479" s="149"/>
      <c r="AR479" s="149"/>
      <c r="AS479" s="149"/>
      <c r="AT479" s="149"/>
      <c r="AU479" s="149"/>
      <c r="AV479" s="149"/>
      <c r="AW479" s="149"/>
      <c r="AX479" s="149"/>
      <c r="AY479" s="149"/>
      <c r="AZ479" s="149"/>
      <c r="BA479" s="149"/>
      <c r="BB479" s="149"/>
      <c r="BC479" s="149"/>
      <c r="BD479" s="149"/>
      <c r="BE479" s="149"/>
      <c r="BF479" s="149"/>
      <c r="BG479" s="149"/>
      <c r="BH479" s="149"/>
      <c r="BI479" s="149"/>
      <c r="BJ479" s="149"/>
      <c r="BK479" s="149"/>
      <c r="BL479" s="149"/>
      <c r="BM479" s="149"/>
      <c r="BN479" s="149"/>
      <c r="BO479" s="149"/>
      <c r="BP479" s="149"/>
      <c r="BQ479" s="149"/>
      <c r="BR479" s="149"/>
      <c r="BS479" s="149"/>
      <c r="BT479" s="149"/>
      <c r="BU479" s="149"/>
      <c r="BV479" s="149"/>
      <c r="BW479" s="149"/>
      <c r="BX479" s="149"/>
      <c r="BY479" s="149"/>
      <c r="BZ479" s="149"/>
      <c r="CA479" s="149"/>
      <c r="CB479" s="149"/>
      <c r="CC479" s="149"/>
      <c r="CD479" s="149"/>
      <c r="CE479" s="149"/>
      <c r="CF479" s="149"/>
      <c r="CG479" s="149"/>
      <c r="CH479" s="149"/>
      <c r="CI479" s="149"/>
      <c r="CJ479" s="149"/>
      <c r="CK479" s="149"/>
      <c r="CL479" s="149"/>
      <c r="CM479" s="149"/>
      <c r="CN479" s="149"/>
      <c r="CO479" s="149"/>
      <c r="CP479" s="149"/>
      <c r="CQ479" s="149"/>
      <c r="CR479" s="149"/>
      <c r="CS479" s="149"/>
      <c r="CT479" s="149"/>
      <c r="CU479" s="149"/>
      <c r="CV479" s="149"/>
      <c r="CW479" s="149"/>
      <c r="CX479" s="149"/>
      <c r="CY479" s="149"/>
      <c r="CZ479" s="149"/>
      <c r="DA479" s="149"/>
      <c r="DB479" s="149"/>
      <c r="DC479" s="149"/>
      <c r="DD479" s="149"/>
    </row>
    <row r="480" spans="1:108" x14ac:dyDescent="0.35">
      <c r="A480" s="149"/>
      <c r="E480" s="149"/>
      <c r="F480" s="149"/>
      <c r="G480" s="149"/>
      <c r="H480" s="149"/>
      <c r="I480" s="149"/>
      <c r="J480" s="149"/>
      <c r="K480" s="149"/>
      <c r="L480" s="149"/>
      <c r="M480" s="149"/>
      <c r="N480" s="149"/>
      <c r="O480" s="149"/>
      <c r="P480" s="149"/>
      <c r="Q480" s="149"/>
      <c r="R480" s="149"/>
      <c r="S480" s="149"/>
      <c r="T480" s="149"/>
      <c r="U480" s="149"/>
      <c r="V480" s="149"/>
      <c r="W480" s="149"/>
      <c r="X480" s="149"/>
      <c r="Y480" s="149"/>
      <c r="Z480" s="149"/>
      <c r="AA480" s="149"/>
      <c r="AB480" s="149"/>
      <c r="AC480" s="149"/>
      <c r="AD480" s="149"/>
      <c r="AE480" s="149"/>
      <c r="AF480" s="149"/>
      <c r="AG480" s="149"/>
      <c r="AH480" s="149"/>
      <c r="AI480" s="149"/>
      <c r="AJ480" s="149"/>
      <c r="AK480" s="149"/>
      <c r="AL480" s="149"/>
      <c r="AM480" s="149"/>
      <c r="AN480" s="149"/>
      <c r="AO480" s="149"/>
      <c r="AP480" s="149"/>
      <c r="AQ480" s="149"/>
      <c r="AR480" s="149"/>
      <c r="AS480" s="149"/>
      <c r="AT480" s="149"/>
      <c r="AU480" s="149"/>
      <c r="AV480" s="149"/>
      <c r="AW480" s="149"/>
      <c r="AX480" s="149"/>
      <c r="AY480" s="149"/>
      <c r="AZ480" s="149"/>
      <c r="BA480" s="149"/>
      <c r="BB480" s="149"/>
      <c r="BC480" s="149"/>
      <c r="BD480" s="149"/>
      <c r="BE480" s="149"/>
      <c r="BF480" s="149"/>
      <c r="BG480" s="149"/>
      <c r="BH480" s="149"/>
      <c r="BI480" s="149"/>
      <c r="BJ480" s="149"/>
      <c r="BK480" s="149"/>
      <c r="BL480" s="149"/>
      <c r="BM480" s="149"/>
      <c r="BN480" s="149"/>
      <c r="BO480" s="149"/>
      <c r="BP480" s="149"/>
      <c r="BQ480" s="149"/>
      <c r="BR480" s="149"/>
      <c r="BS480" s="149"/>
      <c r="BT480" s="149"/>
      <c r="BU480" s="149"/>
      <c r="BV480" s="149"/>
      <c r="BW480" s="149"/>
      <c r="BX480" s="149"/>
      <c r="BY480" s="149"/>
      <c r="BZ480" s="149"/>
      <c r="CA480" s="149"/>
      <c r="CB480" s="149"/>
      <c r="CC480" s="149"/>
      <c r="CD480" s="149"/>
      <c r="CE480" s="149"/>
      <c r="CF480" s="149"/>
      <c r="CG480" s="149"/>
      <c r="CH480" s="149"/>
      <c r="CI480" s="149"/>
      <c r="CJ480" s="149"/>
      <c r="CK480" s="149"/>
      <c r="CL480" s="149"/>
      <c r="CM480" s="149"/>
      <c r="CN480" s="149"/>
      <c r="CO480" s="149"/>
      <c r="CP480" s="149"/>
      <c r="CQ480" s="149"/>
      <c r="CR480" s="149"/>
      <c r="CS480" s="149"/>
      <c r="CT480" s="149"/>
      <c r="CU480" s="149"/>
      <c r="CV480" s="149"/>
      <c r="CW480" s="149"/>
      <c r="CX480" s="149"/>
      <c r="CY480" s="149"/>
      <c r="CZ480" s="149"/>
      <c r="DA480" s="149"/>
      <c r="DB480" s="149"/>
      <c r="DC480" s="149"/>
      <c r="DD480" s="149"/>
    </row>
    <row r="481" spans="1:108" x14ac:dyDescent="0.35">
      <c r="A481" s="149"/>
      <c r="E481" s="149"/>
      <c r="F481" s="149"/>
      <c r="G481" s="149"/>
      <c r="H481" s="149"/>
      <c r="I481" s="149"/>
      <c r="J481" s="149"/>
      <c r="K481" s="149"/>
      <c r="L481" s="149"/>
      <c r="M481" s="149"/>
      <c r="N481" s="149"/>
      <c r="O481" s="149"/>
      <c r="P481" s="149"/>
      <c r="Q481" s="149"/>
      <c r="R481" s="149"/>
      <c r="S481" s="149"/>
      <c r="T481" s="149"/>
      <c r="U481" s="149"/>
      <c r="V481" s="149"/>
      <c r="W481" s="149"/>
      <c r="X481" s="149"/>
      <c r="Y481" s="149"/>
      <c r="Z481" s="149"/>
      <c r="AA481" s="149"/>
      <c r="AB481" s="149"/>
      <c r="AC481" s="149"/>
      <c r="AD481" s="149"/>
      <c r="AE481" s="149"/>
      <c r="AF481" s="149"/>
      <c r="AG481" s="149"/>
      <c r="AH481" s="149"/>
      <c r="AI481" s="149"/>
      <c r="AJ481" s="149"/>
      <c r="AK481" s="149"/>
      <c r="AL481" s="149"/>
      <c r="AM481" s="149"/>
      <c r="AN481" s="149"/>
      <c r="AO481" s="149"/>
      <c r="AP481" s="149"/>
      <c r="AQ481" s="149"/>
      <c r="AR481" s="149"/>
      <c r="AS481" s="149"/>
      <c r="AT481" s="149"/>
      <c r="AU481" s="149"/>
      <c r="AV481" s="149"/>
      <c r="AW481" s="149"/>
      <c r="AX481" s="149"/>
      <c r="AY481" s="149"/>
      <c r="AZ481" s="149"/>
      <c r="BA481" s="149"/>
      <c r="BB481" s="149"/>
      <c r="BC481" s="149"/>
      <c r="BD481" s="149"/>
      <c r="BE481" s="149"/>
      <c r="BF481" s="149"/>
      <c r="BG481" s="149"/>
      <c r="BH481" s="149"/>
      <c r="BI481" s="149"/>
      <c r="BJ481" s="149"/>
      <c r="BK481" s="149"/>
      <c r="BL481" s="149"/>
      <c r="BM481" s="149"/>
      <c r="BN481" s="149"/>
      <c r="BO481" s="149"/>
      <c r="BP481" s="149"/>
      <c r="BQ481" s="149"/>
      <c r="BR481" s="149"/>
      <c r="BS481" s="149"/>
      <c r="BT481" s="149"/>
      <c r="BU481" s="149"/>
      <c r="BV481" s="149"/>
      <c r="BW481" s="149"/>
      <c r="BX481" s="149"/>
      <c r="BY481" s="149"/>
      <c r="BZ481" s="149"/>
      <c r="CA481" s="149"/>
      <c r="CB481" s="149"/>
      <c r="CC481" s="149"/>
      <c r="CD481" s="149"/>
      <c r="CE481" s="149"/>
      <c r="CF481" s="149"/>
      <c r="CG481" s="149"/>
      <c r="CH481" s="149"/>
      <c r="CI481" s="149"/>
      <c r="CJ481" s="149"/>
      <c r="CK481" s="149"/>
      <c r="CL481" s="149"/>
      <c r="CM481" s="149"/>
      <c r="CN481" s="149"/>
      <c r="CO481" s="149"/>
      <c r="CP481" s="149"/>
      <c r="CQ481" s="149"/>
      <c r="CR481" s="149"/>
      <c r="CS481" s="149"/>
      <c r="CT481" s="149"/>
      <c r="CU481" s="149"/>
      <c r="CV481" s="149"/>
      <c r="CW481" s="149"/>
      <c r="CX481" s="149"/>
      <c r="CY481" s="149"/>
      <c r="CZ481" s="149"/>
      <c r="DA481" s="149"/>
      <c r="DB481" s="149"/>
      <c r="DC481" s="149"/>
      <c r="DD481" s="149"/>
    </row>
    <row r="482" spans="1:108" x14ac:dyDescent="0.35">
      <c r="A482" s="149"/>
      <c r="E482" s="149"/>
      <c r="F482" s="149"/>
      <c r="G482" s="149"/>
      <c r="H482" s="149"/>
      <c r="I482" s="149"/>
      <c r="J482" s="149"/>
      <c r="K482" s="149"/>
      <c r="L482" s="149"/>
      <c r="M482" s="149"/>
      <c r="N482" s="149"/>
      <c r="O482" s="149"/>
      <c r="P482" s="149"/>
      <c r="Q482" s="149"/>
      <c r="R482" s="149"/>
      <c r="S482" s="149"/>
      <c r="T482" s="149"/>
      <c r="U482" s="149"/>
      <c r="V482" s="149"/>
      <c r="W482" s="149"/>
      <c r="X482" s="149"/>
      <c r="Y482" s="149"/>
      <c r="Z482" s="149"/>
      <c r="AA482" s="149"/>
      <c r="AB482" s="149"/>
      <c r="AC482" s="149"/>
      <c r="AD482" s="149"/>
      <c r="AE482" s="149"/>
      <c r="AF482" s="149"/>
      <c r="AG482" s="149"/>
      <c r="AH482" s="149"/>
      <c r="AI482" s="149"/>
      <c r="AJ482" s="149"/>
      <c r="AK482" s="149"/>
      <c r="AL482" s="149"/>
      <c r="AM482" s="149"/>
      <c r="AN482" s="149"/>
      <c r="AO482" s="149"/>
      <c r="AP482" s="149"/>
      <c r="AQ482" s="149"/>
      <c r="AR482" s="149"/>
      <c r="AS482" s="149"/>
      <c r="AT482" s="149"/>
      <c r="AU482" s="149"/>
      <c r="AV482" s="149"/>
      <c r="AW482" s="149"/>
      <c r="AX482" s="149"/>
      <c r="AY482" s="149"/>
      <c r="AZ482" s="149"/>
      <c r="BA482" s="149"/>
      <c r="BB482" s="149"/>
      <c r="BC482" s="149"/>
      <c r="BD482" s="149"/>
      <c r="BE482" s="149"/>
      <c r="BF482" s="149"/>
      <c r="BG482" s="149"/>
      <c r="BH482" s="149"/>
      <c r="BI482" s="149"/>
      <c r="BJ482" s="149"/>
      <c r="BK482" s="149"/>
      <c r="BL482" s="149"/>
      <c r="BM482" s="149"/>
      <c r="BN482" s="149"/>
      <c r="BO482" s="149"/>
      <c r="BP482" s="149"/>
      <c r="BQ482" s="149"/>
      <c r="BR482" s="149"/>
      <c r="BS482" s="149"/>
      <c r="BT482" s="149"/>
      <c r="BU482" s="149"/>
      <c r="BV482" s="149"/>
      <c r="BW482" s="149"/>
      <c r="BX482" s="149"/>
      <c r="BY482" s="149"/>
      <c r="BZ482" s="149"/>
      <c r="CA482" s="149"/>
      <c r="CB482" s="149"/>
      <c r="CC482" s="149"/>
      <c r="CD482" s="149"/>
      <c r="CE482" s="149"/>
      <c r="CF482" s="149"/>
      <c r="CG482" s="149"/>
      <c r="CH482" s="149"/>
      <c r="CI482" s="149"/>
      <c r="CJ482" s="149"/>
      <c r="CK482" s="149"/>
      <c r="CL482" s="149"/>
      <c r="CM482" s="149"/>
      <c r="CN482" s="149"/>
      <c r="CO482" s="149"/>
      <c r="CP482" s="149"/>
      <c r="CQ482" s="149"/>
      <c r="CR482" s="149"/>
      <c r="CS482" s="149"/>
      <c r="CT482" s="149"/>
      <c r="CU482" s="149"/>
      <c r="CV482" s="149"/>
      <c r="CW482" s="149"/>
      <c r="CX482" s="149"/>
      <c r="CY482" s="149"/>
      <c r="CZ482" s="149"/>
      <c r="DA482" s="149"/>
      <c r="DB482" s="149"/>
      <c r="DC482" s="149"/>
      <c r="DD482" s="149"/>
    </row>
    <row r="483" spans="1:108" x14ac:dyDescent="0.35">
      <c r="A483" s="149"/>
      <c r="E483" s="149"/>
      <c r="F483" s="149"/>
      <c r="G483" s="149"/>
      <c r="H483" s="149"/>
      <c r="I483" s="149"/>
      <c r="J483" s="149"/>
      <c r="K483" s="149"/>
      <c r="L483" s="149"/>
      <c r="M483" s="149"/>
      <c r="N483" s="149"/>
      <c r="O483" s="149"/>
      <c r="P483" s="149"/>
      <c r="Q483" s="149"/>
      <c r="R483" s="149"/>
      <c r="S483" s="149"/>
      <c r="T483" s="149"/>
      <c r="U483" s="149"/>
      <c r="V483" s="149"/>
      <c r="W483" s="149"/>
      <c r="X483" s="149"/>
      <c r="Y483" s="149"/>
      <c r="Z483" s="149"/>
      <c r="AA483" s="149"/>
      <c r="AB483" s="149"/>
      <c r="AC483" s="149"/>
      <c r="AD483" s="149"/>
      <c r="AE483" s="149"/>
      <c r="AF483" s="149"/>
      <c r="AG483" s="149"/>
      <c r="AH483" s="149"/>
      <c r="AI483" s="149"/>
      <c r="AJ483" s="149"/>
      <c r="AK483" s="149"/>
      <c r="AL483" s="149"/>
      <c r="AM483" s="149"/>
      <c r="AN483" s="149"/>
      <c r="AO483" s="149"/>
      <c r="AP483" s="149"/>
      <c r="AQ483" s="149"/>
      <c r="AR483" s="149"/>
      <c r="AS483" s="149"/>
      <c r="AT483" s="149"/>
      <c r="AU483" s="149"/>
      <c r="AV483" s="149"/>
      <c r="AW483" s="149"/>
      <c r="AX483" s="149"/>
      <c r="AY483" s="149"/>
      <c r="AZ483" s="149"/>
      <c r="BA483" s="149"/>
      <c r="BB483" s="149"/>
      <c r="BC483" s="149"/>
      <c r="BD483" s="149"/>
      <c r="BE483" s="149"/>
      <c r="BF483" s="149"/>
      <c r="BG483" s="149"/>
      <c r="BH483" s="149"/>
      <c r="BI483" s="149"/>
      <c r="BJ483" s="149"/>
      <c r="BK483" s="149"/>
      <c r="BL483" s="149"/>
      <c r="BM483" s="149"/>
      <c r="BN483" s="149"/>
      <c r="BO483" s="149"/>
      <c r="BP483" s="149"/>
      <c r="BQ483" s="149"/>
      <c r="BR483" s="149"/>
      <c r="BS483" s="149"/>
      <c r="BT483" s="149"/>
      <c r="BU483" s="149"/>
      <c r="BV483" s="149"/>
      <c r="BW483" s="149"/>
      <c r="BX483" s="149"/>
      <c r="BY483" s="149"/>
      <c r="BZ483" s="149"/>
      <c r="CA483" s="149"/>
      <c r="CB483" s="149"/>
      <c r="CC483" s="149"/>
      <c r="CD483" s="149"/>
      <c r="CE483" s="149"/>
      <c r="CF483" s="149"/>
      <c r="CG483" s="149"/>
      <c r="CH483" s="149"/>
      <c r="CI483" s="149"/>
      <c r="CJ483" s="149"/>
      <c r="CK483" s="149"/>
      <c r="CL483" s="149"/>
      <c r="CM483" s="149"/>
      <c r="CN483" s="149"/>
      <c r="CO483" s="149"/>
      <c r="CP483" s="149"/>
      <c r="CQ483" s="149"/>
      <c r="CR483" s="149"/>
      <c r="CS483" s="149"/>
      <c r="CT483" s="149"/>
      <c r="CU483" s="149"/>
      <c r="CV483" s="149"/>
      <c r="CW483" s="149"/>
      <c r="CX483" s="149"/>
      <c r="CY483" s="149"/>
      <c r="CZ483" s="149"/>
      <c r="DA483" s="149"/>
      <c r="DB483" s="149"/>
      <c r="DC483" s="149"/>
      <c r="DD483" s="149"/>
    </row>
    <row r="484" spans="1:108" x14ac:dyDescent="0.35">
      <c r="A484" s="149"/>
      <c r="E484" s="149"/>
      <c r="F484" s="149"/>
      <c r="G484" s="149"/>
      <c r="H484" s="149"/>
      <c r="I484" s="149"/>
      <c r="J484" s="149"/>
      <c r="K484" s="149"/>
      <c r="L484" s="149"/>
      <c r="M484" s="149"/>
      <c r="N484" s="149"/>
      <c r="O484" s="149"/>
      <c r="P484" s="149"/>
      <c r="Q484" s="149"/>
      <c r="R484" s="149"/>
      <c r="S484" s="149"/>
      <c r="T484" s="149"/>
      <c r="U484" s="149"/>
      <c r="V484" s="149"/>
      <c r="W484" s="149"/>
      <c r="X484" s="149"/>
      <c r="Y484" s="149"/>
      <c r="Z484" s="149"/>
      <c r="AA484" s="149"/>
      <c r="AB484" s="149"/>
      <c r="AC484" s="149"/>
      <c r="AD484" s="149"/>
      <c r="AE484" s="149"/>
      <c r="AF484" s="149"/>
      <c r="AG484" s="149"/>
      <c r="AH484" s="149"/>
      <c r="AI484" s="149"/>
      <c r="AJ484" s="149"/>
      <c r="AK484" s="149"/>
      <c r="AL484" s="149"/>
      <c r="AM484" s="149"/>
      <c r="AN484" s="149"/>
      <c r="AO484" s="149"/>
      <c r="AP484" s="149"/>
      <c r="AQ484" s="149"/>
      <c r="AR484" s="149"/>
      <c r="AS484" s="149"/>
      <c r="AT484" s="149"/>
      <c r="AU484" s="149"/>
      <c r="AV484" s="149"/>
      <c r="AW484" s="149"/>
      <c r="AX484" s="149"/>
      <c r="AY484" s="149"/>
      <c r="AZ484" s="149"/>
      <c r="BA484" s="149"/>
      <c r="BB484" s="149"/>
      <c r="BC484" s="149"/>
      <c r="BD484" s="149"/>
      <c r="BE484" s="149"/>
      <c r="BF484" s="149"/>
      <c r="BG484" s="149"/>
      <c r="BH484" s="149"/>
      <c r="BI484" s="149"/>
      <c r="BJ484" s="149"/>
      <c r="BK484" s="149"/>
      <c r="BL484" s="149"/>
      <c r="BM484" s="149"/>
      <c r="BN484" s="149"/>
      <c r="BO484" s="149"/>
      <c r="BP484" s="149"/>
      <c r="BQ484" s="149"/>
      <c r="BR484" s="149"/>
      <c r="BS484" s="149"/>
      <c r="BT484" s="149"/>
      <c r="BU484" s="149"/>
      <c r="BV484" s="149"/>
      <c r="BW484" s="149"/>
      <c r="BX484" s="149"/>
      <c r="BY484" s="149"/>
      <c r="BZ484" s="149"/>
      <c r="CA484" s="149"/>
      <c r="CB484" s="149"/>
      <c r="CC484" s="149"/>
      <c r="CD484" s="149"/>
      <c r="CE484" s="149"/>
      <c r="CF484" s="149"/>
      <c r="CG484" s="149"/>
      <c r="CH484" s="149"/>
      <c r="CI484" s="149"/>
      <c r="CJ484" s="149"/>
      <c r="CK484" s="149"/>
      <c r="CL484" s="149"/>
      <c r="CM484" s="149"/>
      <c r="CN484" s="149"/>
      <c r="CO484" s="149"/>
      <c r="CP484" s="149"/>
      <c r="CQ484" s="149"/>
      <c r="CR484" s="149"/>
      <c r="CS484" s="149"/>
      <c r="CT484" s="149"/>
      <c r="CU484" s="149"/>
      <c r="CV484" s="149"/>
      <c r="CW484" s="149"/>
      <c r="CX484" s="149"/>
      <c r="CY484" s="149"/>
      <c r="CZ484" s="149"/>
      <c r="DA484" s="149"/>
      <c r="DB484" s="149"/>
      <c r="DC484" s="149"/>
      <c r="DD484" s="149"/>
    </row>
    <row r="485" spans="1:108" x14ac:dyDescent="0.35">
      <c r="A485" s="149"/>
      <c r="E485" s="149"/>
      <c r="F485" s="149"/>
      <c r="G485" s="149"/>
      <c r="H485" s="149"/>
      <c r="I485" s="149"/>
      <c r="J485" s="149"/>
      <c r="K485" s="149"/>
      <c r="L485" s="149"/>
      <c r="M485" s="149"/>
      <c r="N485" s="149"/>
      <c r="O485" s="149"/>
      <c r="P485" s="149"/>
      <c r="Q485" s="149"/>
      <c r="R485" s="149"/>
      <c r="S485" s="149"/>
      <c r="T485" s="149"/>
      <c r="U485" s="149"/>
      <c r="V485" s="149"/>
      <c r="W485" s="149"/>
      <c r="X485" s="149"/>
      <c r="Y485" s="149"/>
      <c r="Z485" s="149"/>
      <c r="AA485" s="149"/>
      <c r="AB485" s="149"/>
      <c r="AC485" s="149"/>
      <c r="AD485" s="149"/>
      <c r="AE485" s="149"/>
      <c r="AF485" s="149"/>
      <c r="AG485" s="149"/>
      <c r="AH485" s="149"/>
      <c r="AI485" s="149"/>
      <c r="AJ485" s="149"/>
      <c r="AK485" s="149"/>
      <c r="AL485" s="149"/>
      <c r="AM485" s="149"/>
      <c r="AN485" s="149"/>
      <c r="AO485" s="149"/>
      <c r="AP485" s="149"/>
      <c r="AQ485" s="149"/>
      <c r="AR485" s="149"/>
      <c r="AS485" s="149"/>
      <c r="AT485" s="149"/>
      <c r="AU485" s="149"/>
      <c r="AV485" s="149"/>
      <c r="AW485" s="149"/>
      <c r="AX485" s="149"/>
      <c r="AY485" s="149"/>
      <c r="AZ485" s="149"/>
      <c r="BA485" s="149"/>
      <c r="BB485" s="149"/>
      <c r="BC485" s="149"/>
      <c r="BD485" s="149"/>
      <c r="BE485" s="149"/>
      <c r="BF485" s="149"/>
      <c r="BG485" s="149"/>
      <c r="BH485" s="149"/>
      <c r="BI485" s="149"/>
      <c r="BJ485" s="149"/>
      <c r="BK485" s="149"/>
      <c r="BL485" s="149"/>
      <c r="BM485" s="149"/>
      <c r="BN485" s="149"/>
      <c r="BO485" s="149"/>
      <c r="BP485" s="149"/>
      <c r="BQ485" s="149"/>
      <c r="BR485" s="149"/>
      <c r="BS485" s="149"/>
      <c r="BT485" s="149"/>
      <c r="BU485" s="149"/>
      <c r="BV485" s="149"/>
      <c r="BW485" s="149"/>
      <c r="BX485" s="149"/>
      <c r="BY485" s="149"/>
      <c r="BZ485" s="149"/>
      <c r="CA485" s="149"/>
      <c r="CB485" s="149"/>
      <c r="CC485" s="149"/>
      <c r="CD485" s="149"/>
      <c r="CE485" s="149"/>
      <c r="CF485" s="149"/>
      <c r="CG485" s="149"/>
      <c r="CH485" s="149"/>
      <c r="CI485" s="149"/>
      <c r="CJ485" s="149"/>
      <c r="CK485" s="149"/>
      <c r="CL485" s="149"/>
      <c r="CM485" s="149"/>
      <c r="CN485" s="149"/>
      <c r="CO485" s="149"/>
      <c r="CP485" s="149"/>
      <c r="CQ485" s="149"/>
      <c r="CR485" s="149"/>
      <c r="CS485" s="149"/>
      <c r="CT485" s="149"/>
      <c r="CU485" s="149"/>
      <c r="CV485" s="149"/>
      <c r="CW485" s="149"/>
      <c r="CX485" s="149"/>
      <c r="CY485" s="149"/>
      <c r="CZ485" s="149"/>
      <c r="DA485" s="149"/>
      <c r="DB485" s="149"/>
      <c r="DC485" s="149"/>
      <c r="DD485" s="149"/>
    </row>
    <row r="486" spans="1:108" x14ac:dyDescent="0.35">
      <c r="A486" s="149"/>
      <c r="E486" s="149"/>
      <c r="F486" s="149"/>
      <c r="G486" s="149"/>
      <c r="H486" s="149"/>
      <c r="I486" s="149"/>
      <c r="J486" s="149"/>
      <c r="K486" s="149"/>
      <c r="L486" s="149"/>
      <c r="M486" s="149"/>
      <c r="N486" s="149"/>
      <c r="O486" s="149"/>
      <c r="P486" s="149"/>
      <c r="Q486" s="149"/>
      <c r="R486" s="149"/>
      <c r="S486" s="149"/>
      <c r="T486" s="149"/>
      <c r="U486" s="149"/>
      <c r="V486" s="149"/>
      <c r="W486" s="149"/>
      <c r="X486" s="149"/>
      <c r="Y486" s="149"/>
      <c r="Z486" s="149"/>
      <c r="AA486" s="149"/>
      <c r="AB486" s="149"/>
      <c r="AC486" s="149"/>
      <c r="AD486" s="149"/>
      <c r="AE486" s="149"/>
      <c r="AF486" s="149"/>
      <c r="AG486" s="149"/>
      <c r="AH486" s="149"/>
      <c r="AI486" s="149"/>
      <c r="AJ486" s="149"/>
      <c r="AK486" s="149"/>
      <c r="AL486" s="149"/>
      <c r="AM486" s="149"/>
      <c r="AN486" s="149"/>
      <c r="AO486" s="149"/>
      <c r="AP486" s="149"/>
      <c r="AQ486" s="149"/>
      <c r="AR486" s="149"/>
      <c r="AS486" s="149"/>
      <c r="AT486" s="149"/>
      <c r="AU486" s="149"/>
      <c r="AV486" s="149"/>
      <c r="AW486" s="149"/>
      <c r="AX486" s="149"/>
      <c r="AY486" s="149"/>
      <c r="AZ486" s="149"/>
      <c r="BA486" s="149"/>
      <c r="BB486" s="149"/>
      <c r="BC486" s="149"/>
      <c r="BD486" s="149"/>
      <c r="BE486" s="149"/>
      <c r="BF486" s="149"/>
      <c r="BG486" s="149"/>
      <c r="BH486" s="149"/>
      <c r="BI486" s="149"/>
      <c r="BJ486" s="149"/>
      <c r="BK486" s="149"/>
      <c r="BL486" s="149"/>
      <c r="BM486" s="149"/>
      <c r="BN486" s="149"/>
      <c r="BO486" s="149"/>
      <c r="BP486" s="149"/>
      <c r="BQ486" s="149"/>
      <c r="BR486" s="149"/>
      <c r="BS486" s="149"/>
      <c r="BT486" s="149"/>
      <c r="BU486" s="149"/>
      <c r="BV486" s="149"/>
      <c r="BW486" s="149"/>
      <c r="BX486" s="149"/>
      <c r="BY486" s="149"/>
      <c r="BZ486" s="149"/>
      <c r="CA486" s="149"/>
      <c r="CB486" s="149"/>
      <c r="CC486" s="149"/>
      <c r="CD486" s="149"/>
      <c r="CE486" s="149"/>
      <c r="CF486" s="149"/>
      <c r="CG486" s="149"/>
      <c r="CH486" s="149"/>
      <c r="CI486" s="149"/>
      <c r="CJ486" s="149"/>
      <c r="CK486" s="149"/>
      <c r="CL486" s="149"/>
      <c r="CM486" s="149"/>
      <c r="CN486" s="149"/>
      <c r="CO486" s="149"/>
      <c r="CP486" s="149"/>
      <c r="CQ486" s="149"/>
      <c r="CR486" s="149"/>
      <c r="CS486" s="149"/>
      <c r="CT486" s="149"/>
      <c r="CU486" s="149"/>
      <c r="CV486" s="149"/>
      <c r="CW486" s="149"/>
      <c r="CX486" s="149"/>
      <c r="CY486" s="149"/>
      <c r="CZ486" s="149"/>
      <c r="DA486" s="149"/>
      <c r="DB486" s="149"/>
      <c r="DC486" s="149"/>
      <c r="DD486" s="149"/>
    </row>
    <row r="487" spans="1:108" x14ac:dyDescent="0.35">
      <c r="A487" s="149"/>
      <c r="E487" s="149"/>
      <c r="F487" s="149"/>
      <c r="G487" s="149"/>
      <c r="H487" s="149"/>
      <c r="I487" s="149"/>
      <c r="J487" s="149"/>
      <c r="K487" s="149"/>
      <c r="L487" s="149"/>
      <c r="M487" s="149"/>
      <c r="N487" s="149"/>
      <c r="O487" s="149"/>
      <c r="P487" s="149"/>
      <c r="Q487" s="149"/>
      <c r="R487" s="149"/>
      <c r="S487" s="149"/>
      <c r="T487" s="149"/>
      <c r="U487" s="149"/>
      <c r="V487" s="149"/>
      <c r="W487" s="149"/>
      <c r="X487" s="149"/>
      <c r="Y487" s="149"/>
      <c r="Z487" s="149"/>
      <c r="AA487" s="149"/>
      <c r="AB487" s="149"/>
      <c r="AC487" s="149"/>
      <c r="AD487" s="149"/>
      <c r="AE487" s="149"/>
      <c r="AF487" s="149"/>
      <c r="AG487" s="149"/>
      <c r="AH487" s="149"/>
      <c r="AI487" s="149"/>
      <c r="AJ487" s="149"/>
      <c r="AK487" s="149"/>
      <c r="AL487" s="149"/>
      <c r="AM487" s="149"/>
      <c r="AN487" s="149"/>
      <c r="AO487" s="149"/>
      <c r="AP487" s="149"/>
      <c r="AQ487" s="149"/>
      <c r="AR487" s="149"/>
      <c r="AS487" s="149"/>
      <c r="AT487" s="149"/>
      <c r="AU487" s="149"/>
      <c r="AV487" s="149"/>
      <c r="AW487" s="149"/>
      <c r="AX487" s="149"/>
      <c r="AY487" s="149"/>
      <c r="AZ487" s="149"/>
      <c r="BA487" s="149"/>
      <c r="BB487" s="149"/>
      <c r="BC487" s="149"/>
      <c r="BD487" s="149"/>
      <c r="BE487" s="149"/>
      <c r="BF487" s="149"/>
      <c r="BG487" s="149"/>
      <c r="BH487" s="149"/>
      <c r="BI487" s="149"/>
      <c r="BJ487" s="149"/>
      <c r="BK487" s="149"/>
      <c r="BL487" s="149"/>
      <c r="BM487" s="149"/>
      <c r="BN487" s="149"/>
      <c r="BO487" s="149"/>
      <c r="BP487" s="149"/>
      <c r="BQ487" s="149"/>
      <c r="BR487" s="149"/>
      <c r="BS487" s="149"/>
      <c r="BT487" s="149"/>
      <c r="BU487" s="149"/>
      <c r="BV487" s="149"/>
      <c r="BW487" s="149"/>
      <c r="BX487" s="149"/>
      <c r="BY487" s="149"/>
      <c r="BZ487" s="149"/>
      <c r="CA487" s="149"/>
      <c r="CB487" s="149"/>
      <c r="CC487" s="149"/>
      <c r="CD487" s="149"/>
      <c r="CE487" s="149"/>
      <c r="CF487" s="149"/>
      <c r="CG487" s="149"/>
      <c r="CH487" s="149"/>
      <c r="CI487" s="149"/>
      <c r="CJ487" s="149"/>
      <c r="CK487" s="149"/>
      <c r="CL487" s="149"/>
      <c r="CM487" s="149"/>
      <c r="CN487" s="149"/>
      <c r="CO487" s="149"/>
      <c r="CP487" s="149"/>
      <c r="CQ487" s="149"/>
      <c r="CR487" s="149"/>
      <c r="CS487" s="149"/>
      <c r="CT487" s="149"/>
      <c r="CU487" s="149"/>
      <c r="CV487" s="149"/>
      <c r="CW487" s="149"/>
      <c r="CX487" s="149"/>
      <c r="CY487" s="149"/>
      <c r="CZ487" s="149"/>
      <c r="DA487" s="149"/>
      <c r="DB487" s="149"/>
      <c r="DC487" s="149"/>
      <c r="DD487" s="149"/>
    </row>
    <row r="488" spans="1:108" x14ac:dyDescent="0.35">
      <c r="A488" s="149"/>
      <c r="E488" s="149"/>
      <c r="F488" s="149"/>
      <c r="G488" s="149"/>
      <c r="H488" s="149"/>
      <c r="I488" s="149"/>
      <c r="J488" s="149"/>
      <c r="K488" s="149"/>
      <c r="L488" s="149"/>
      <c r="M488" s="149"/>
      <c r="N488" s="149"/>
      <c r="O488" s="149"/>
      <c r="P488" s="149"/>
      <c r="Q488" s="149"/>
      <c r="R488" s="149"/>
      <c r="S488" s="149"/>
      <c r="T488" s="149"/>
      <c r="U488" s="149"/>
      <c r="V488" s="149"/>
      <c r="W488" s="149"/>
      <c r="X488" s="149"/>
      <c r="Y488" s="149"/>
      <c r="Z488" s="149"/>
      <c r="AA488" s="149"/>
      <c r="AB488" s="149"/>
      <c r="AC488" s="149"/>
      <c r="AD488" s="149"/>
      <c r="AE488" s="149"/>
      <c r="AF488" s="149"/>
      <c r="AG488" s="149"/>
      <c r="AH488" s="149"/>
      <c r="AI488" s="149"/>
      <c r="AJ488" s="149"/>
      <c r="AK488" s="149"/>
      <c r="AL488" s="149"/>
      <c r="AM488" s="149"/>
      <c r="AN488" s="149"/>
      <c r="AO488" s="149"/>
      <c r="AP488" s="149"/>
      <c r="AQ488" s="149"/>
      <c r="AR488" s="149"/>
      <c r="AS488" s="149"/>
      <c r="AT488" s="149"/>
      <c r="AU488" s="149"/>
      <c r="AV488" s="149"/>
      <c r="AW488" s="149"/>
      <c r="AX488" s="149"/>
      <c r="AY488" s="149"/>
      <c r="AZ488" s="149"/>
      <c r="BA488" s="149"/>
      <c r="BB488" s="149"/>
      <c r="BC488" s="149"/>
      <c r="BD488" s="149"/>
      <c r="BE488" s="149"/>
      <c r="BF488" s="149"/>
      <c r="BG488" s="149"/>
      <c r="BH488" s="149"/>
      <c r="BI488" s="149"/>
      <c r="BJ488" s="149"/>
      <c r="BK488" s="149"/>
      <c r="BL488" s="149"/>
      <c r="BM488" s="149"/>
      <c r="BN488" s="149"/>
      <c r="BO488" s="149"/>
      <c r="BP488" s="149"/>
      <c r="BQ488" s="149"/>
      <c r="BR488" s="149"/>
      <c r="BS488" s="149"/>
      <c r="BT488" s="149"/>
      <c r="BU488" s="149"/>
      <c r="BV488" s="149"/>
      <c r="BW488" s="149"/>
      <c r="BX488" s="149"/>
      <c r="BY488" s="149"/>
      <c r="BZ488" s="149"/>
      <c r="CA488" s="149"/>
      <c r="CB488" s="149"/>
      <c r="CC488" s="149"/>
      <c r="CD488" s="149"/>
      <c r="CE488" s="149"/>
      <c r="CF488" s="149"/>
      <c r="CG488" s="149"/>
      <c r="CH488" s="149"/>
      <c r="CI488" s="149"/>
      <c r="CJ488" s="149"/>
      <c r="CK488" s="149"/>
      <c r="CL488" s="149"/>
      <c r="CM488" s="149"/>
      <c r="CN488" s="149"/>
      <c r="CO488" s="149"/>
      <c r="CP488" s="149"/>
      <c r="CQ488" s="149"/>
      <c r="CR488" s="149"/>
      <c r="CS488" s="149"/>
      <c r="CT488" s="149"/>
      <c r="CU488" s="149"/>
      <c r="CV488" s="149"/>
      <c r="CW488" s="149"/>
      <c r="CX488" s="149"/>
      <c r="CY488" s="149"/>
      <c r="CZ488" s="149"/>
      <c r="DA488" s="149"/>
      <c r="DB488" s="149"/>
      <c r="DC488" s="149"/>
      <c r="DD488" s="149"/>
    </row>
    <row r="489" spans="1:108" x14ac:dyDescent="0.35">
      <c r="A489" s="149"/>
      <c r="E489" s="149"/>
      <c r="F489" s="149"/>
      <c r="G489" s="149"/>
      <c r="H489" s="149"/>
      <c r="I489" s="149"/>
      <c r="J489" s="149"/>
      <c r="K489" s="149"/>
      <c r="L489" s="149"/>
      <c r="M489" s="149"/>
      <c r="N489" s="149"/>
      <c r="O489" s="149"/>
      <c r="P489" s="149"/>
      <c r="Q489" s="149"/>
      <c r="R489" s="149"/>
      <c r="S489" s="149"/>
      <c r="T489" s="149"/>
      <c r="U489" s="149"/>
      <c r="V489" s="149"/>
      <c r="W489" s="149"/>
      <c r="X489" s="149"/>
      <c r="Y489" s="149"/>
      <c r="Z489" s="149"/>
      <c r="AA489" s="149"/>
      <c r="AB489" s="149"/>
      <c r="AC489" s="149"/>
      <c r="AD489" s="149"/>
      <c r="AE489" s="149"/>
      <c r="AF489" s="149"/>
      <c r="AG489" s="149"/>
      <c r="AH489" s="149"/>
      <c r="AI489" s="149"/>
      <c r="AJ489" s="149"/>
      <c r="AK489" s="149"/>
      <c r="AL489" s="149"/>
      <c r="AM489" s="149"/>
      <c r="AN489" s="149"/>
      <c r="AO489" s="149"/>
      <c r="AP489" s="149"/>
      <c r="AQ489" s="149"/>
      <c r="AR489" s="149"/>
      <c r="AS489" s="149"/>
      <c r="AT489" s="149"/>
      <c r="AU489" s="149"/>
      <c r="AV489" s="149"/>
      <c r="AW489" s="149"/>
      <c r="AX489" s="149"/>
      <c r="AY489" s="149"/>
      <c r="AZ489" s="149"/>
      <c r="BA489" s="149"/>
      <c r="BB489" s="149"/>
      <c r="BC489" s="149"/>
      <c r="BD489" s="149"/>
      <c r="BE489" s="149"/>
      <c r="BF489" s="149"/>
      <c r="BG489" s="149"/>
      <c r="BH489" s="149"/>
      <c r="BI489" s="149"/>
      <c r="BJ489" s="149"/>
      <c r="BK489" s="149"/>
      <c r="BL489" s="149"/>
      <c r="BM489" s="149"/>
      <c r="BN489" s="149"/>
      <c r="BO489" s="149"/>
      <c r="BP489" s="149"/>
      <c r="BQ489" s="149"/>
      <c r="BR489" s="149"/>
      <c r="BS489" s="149"/>
      <c r="BT489" s="149"/>
      <c r="BU489" s="149"/>
      <c r="BV489" s="149"/>
      <c r="BW489" s="149"/>
      <c r="BX489" s="149"/>
      <c r="BY489" s="149"/>
      <c r="BZ489" s="149"/>
      <c r="CA489" s="149"/>
      <c r="CB489" s="149"/>
      <c r="CC489" s="149"/>
      <c r="CD489" s="149"/>
      <c r="CE489" s="149"/>
      <c r="CF489" s="149"/>
      <c r="CG489" s="149"/>
      <c r="CH489" s="149"/>
      <c r="CI489" s="149"/>
      <c r="CJ489" s="149"/>
      <c r="CK489" s="149"/>
      <c r="CL489" s="149"/>
      <c r="CM489" s="149"/>
      <c r="CN489" s="149"/>
      <c r="CO489" s="149"/>
      <c r="CP489" s="149"/>
      <c r="CQ489" s="149"/>
      <c r="CR489" s="149"/>
      <c r="CS489" s="149"/>
      <c r="CT489" s="149"/>
      <c r="CU489" s="149"/>
      <c r="CV489" s="149"/>
      <c r="CW489" s="149"/>
      <c r="CX489" s="149"/>
      <c r="CY489" s="149"/>
      <c r="CZ489" s="149"/>
      <c r="DA489" s="149"/>
      <c r="DB489" s="149"/>
      <c r="DC489" s="149"/>
      <c r="DD489" s="149"/>
    </row>
    <row r="490" spans="1:108" x14ac:dyDescent="0.35">
      <c r="A490" s="149"/>
      <c r="E490" s="149"/>
      <c r="F490" s="149"/>
      <c r="G490" s="149"/>
      <c r="H490" s="149"/>
      <c r="I490" s="149"/>
      <c r="J490" s="149"/>
      <c r="K490" s="149"/>
      <c r="L490" s="149"/>
      <c r="M490" s="149"/>
      <c r="N490" s="149"/>
      <c r="O490" s="149"/>
      <c r="P490" s="149"/>
      <c r="Q490" s="149"/>
      <c r="R490" s="149"/>
      <c r="S490" s="149"/>
      <c r="T490" s="149"/>
      <c r="U490" s="149"/>
      <c r="V490" s="149"/>
      <c r="W490" s="149"/>
      <c r="X490" s="149"/>
      <c r="Y490" s="149"/>
      <c r="Z490" s="149"/>
      <c r="AA490" s="149"/>
      <c r="AB490" s="149"/>
      <c r="AC490" s="149"/>
      <c r="AD490" s="149"/>
      <c r="AE490" s="149"/>
      <c r="AF490" s="149"/>
      <c r="AG490" s="149"/>
      <c r="AH490" s="149"/>
      <c r="AI490" s="149"/>
      <c r="AJ490" s="149"/>
      <c r="AK490" s="149"/>
      <c r="AL490" s="149"/>
      <c r="AM490" s="149"/>
      <c r="AN490" s="149"/>
      <c r="AO490" s="149"/>
      <c r="AP490" s="149"/>
      <c r="AQ490" s="149"/>
      <c r="AR490" s="149"/>
      <c r="AS490" s="149"/>
      <c r="AT490" s="149"/>
      <c r="AU490" s="149"/>
      <c r="AV490" s="149"/>
      <c r="AW490" s="149"/>
      <c r="AX490" s="149"/>
      <c r="AY490" s="149"/>
      <c r="AZ490" s="149"/>
      <c r="BA490" s="149"/>
      <c r="BB490" s="149"/>
      <c r="BC490" s="149"/>
      <c r="BD490" s="149"/>
      <c r="BE490" s="149"/>
      <c r="BF490" s="149"/>
      <c r="BG490" s="149"/>
      <c r="BH490" s="149"/>
      <c r="BI490" s="149"/>
      <c r="BJ490" s="149"/>
      <c r="BK490" s="149"/>
      <c r="BL490" s="149"/>
      <c r="BM490" s="149"/>
      <c r="BN490" s="149"/>
      <c r="BO490" s="149"/>
      <c r="BP490" s="149"/>
      <c r="BQ490" s="149"/>
      <c r="BR490" s="149"/>
      <c r="BS490" s="149"/>
      <c r="BT490" s="149"/>
      <c r="BU490" s="149"/>
      <c r="BV490" s="149"/>
      <c r="BW490" s="149"/>
      <c r="BX490" s="149"/>
      <c r="BY490" s="149"/>
      <c r="BZ490" s="149"/>
      <c r="CA490" s="149"/>
      <c r="CB490" s="149"/>
      <c r="CC490" s="149"/>
      <c r="CD490" s="149"/>
      <c r="CE490" s="149"/>
      <c r="CF490" s="149"/>
      <c r="CG490" s="149"/>
      <c r="CH490" s="149"/>
      <c r="CI490" s="149"/>
      <c r="CJ490" s="149"/>
      <c r="CK490" s="149"/>
      <c r="CL490" s="149"/>
      <c r="CM490" s="149"/>
      <c r="CN490" s="149"/>
      <c r="CO490" s="149"/>
      <c r="CP490" s="149"/>
      <c r="CQ490" s="149"/>
      <c r="CR490" s="149"/>
      <c r="CS490" s="149"/>
      <c r="CT490" s="149"/>
      <c r="CU490" s="149"/>
      <c r="CV490" s="149"/>
      <c r="CW490" s="149"/>
      <c r="CX490" s="149"/>
      <c r="CY490" s="149"/>
      <c r="CZ490" s="149"/>
      <c r="DA490" s="149"/>
      <c r="DB490" s="149"/>
      <c r="DC490" s="149"/>
      <c r="DD490" s="149"/>
    </row>
    <row r="491" spans="1:108" x14ac:dyDescent="0.35">
      <c r="A491" s="149"/>
      <c r="E491" s="149"/>
      <c r="F491" s="149"/>
      <c r="G491" s="149"/>
      <c r="H491" s="149"/>
      <c r="I491" s="149"/>
      <c r="J491" s="149"/>
      <c r="K491" s="149"/>
      <c r="L491" s="149"/>
      <c r="M491" s="149"/>
      <c r="N491" s="149"/>
      <c r="O491" s="149"/>
      <c r="P491" s="149"/>
      <c r="Q491" s="149"/>
      <c r="R491" s="149"/>
      <c r="S491" s="149"/>
      <c r="T491" s="149"/>
      <c r="U491" s="149"/>
      <c r="V491" s="149"/>
      <c r="W491" s="149"/>
      <c r="X491" s="149"/>
      <c r="Y491" s="149"/>
      <c r="Z491" s="149"/>
      <c r="AA491" s="149"/>
      <c r="AB491" s="149"/>
      <c r="AC491" s="149"/>
      <c r="AD491" s="149"/>
      <c r="AE491" s="149"/>
      <c r="AF491" s="149"/>
      <c r="AG491" s="149"/>
      <c r="AH491" s="149"/>
      <c r="AI491" s="149"/>
      <c r="AJ491" s="149"/>
      <c r="AK491" s="149"/>
      <c r="AL491" s="149"/>
      <c r="AM491" s="149"/>
      <c r="AN491" s="149"/>
      <c r="AO491" s="149"/>
      <c r="AP491" s="149"/>
      <c r="AQ491" s="149"/>
      <c r="AR491" s="149"/>
      <c r="AS491" s="149"/>
      <c r="AT491" s="149"/>
      <c r="AU491" s="149"/>
      <c r="AV491" s="149"/>
      <c r="AW491" s="149"/>
      <c r="AX491" s="149"/>
      <c r="AY491" s="149"/>
      <c r="AZ491" s="149"/>
      <c r="BA491" s="149"/>
      <c r="BB491" s="149"/>
      <c r="BC491" s="149"/>
      <c r="BD491" s="149"/>
      <c r="BE491" s="149"/>
      <c r="BF491" s="149"/>
      <c r="BG491" s="149"/>
      <c r="BH491" s="149"/>
      <c r="BI491" s="149"/>
      <c r="BJ491" s="149"/>
      <c r="BK491" s="149"/>
      <c r="BL491" s="149"/>
      <c r="BM491" s="149"/>
      <c r="BN491" s="149"/>
      <c r="BO491" s="149"/>
      <c r="BP491" s="149"/>
      <c r="BQ491" s="149"/>
      <c r="BR491" s="149"/>
      <c r="BS491" s="149"/>
      <c r="BT491" s="149"/>
      <c r="BU491" s="149"/>
      <c r="BV491" s="149"/>
      <c r="BW491" s="149"/>
      <c r="BX491" s="149"/>
      <c r="BY491" s="149"/>
      <c r="BZ491" s="149"/>
      <c r="CA491" s="149"/>
      <c r="CB491" s="149"/>
      <c r="CC491" s="149"/>
      <c r="CD491" s="149"/>
      <c r="CE491" s="149"/>
      <c r="CF491" s="149"/>
      <c r="CG491" s="149"/>
      <c r="CH491" s="149"/>
      <c r="CI491" s="149"/>
      <c r="CJ491" s="149"/>
      <c r="CK491" s="149"/>
      <c r="CL491" s="149"/>
      <c r="CM491" s="149"/>
      <c r="CN491" s="149"/>
      <c r="CO491" s="149"/>
      <c r="CP491" s="149"/>
      <c r="CQ491" s="149"/>
      <c r="CR491" s="149"/>
      <c r="CS491" s="149"/>
      <c r="CT491" s="149"/>
      <c r="CU491" s="149"/>
      <c r="CV491" s="149"/>
      <c r="CW491" s="149"/>
      <c r="CX491" s="149"/>
      <c r="CY491" s="149"/>
      <c r="CZ491" s="149"/>
      <c r="DA491" s="149"/>
      <c r="DB491" s="149"/>
      <c r="DC491" s="149"/>
      <c r="DD491" s="149"/>
    </row>
    <row r="492" spans="1:108" x14ac:dyDescent="0.35">
      <c r="A492" s="149"/>
      <c r="E492" s="149"/>
      <c r="F492" s="149"/>
      <c r="G492" s="149"/>
      <c r="H492" s="149"/>
      <c r="I492" s="149"/>
      <c r="J492" s="149"/>
      <c r="K492" s="149"/>
      <c r="L492" s="149"/>
      <c r="M492" s="149"/>
      <c r="N492" s="149"/>
      <c r="O492" s="149"/>
      <c r="P492" s="149"/>
      <c r="Q492" s="149"/>
      <c r="R492" s="149"/>
      <c r="S492" s="149"/>
      <c r="T492" s="149"/>
      <c r="U492" s="149"/>
      <c r="V492" s="149"/>
      <c r="W492" s="149"/>
      <c r="X492" s="149"/>
      <c r="Y492" s="149"/>
      <c r="Z492" s="149"/>
      <c r="AA492" s="149"/>
      <c r="AB492" s="149"/>
      <c r="AC492" s="149"/>
      <c r="AD492" s="149"/>
      <c r="AE492" s="149"/>
      <c r="AF492" s="149"/>
      <c r="AG492" s="149"/>
      <c r="AH492" s="149"/>
      <c r="AI492" s="149"/>
      <c r="AJ492" s="149"/>
      <c r="AK492" s="149"/>
      <c r="AL492" s="149"/>
      <c r="AM492" s="149"/>
      <c r="AN492" s="149"/>
      <c r="AO492" s="149"/>
      <c r="AP492" s="149"/>
      <c r="AQ492" s="149"/>
      <c r="AR492" s="149"/>
      <c r="AS492" s="149"/>
      <c r="AT492" s="149"/>
      <c r="AU492" s="149"/>
      <c r="AV492" s="149"/>
      <c r="AW492" s="149"/>
      <c r="AX492" s="149"/>
      <c r="AY492" s="149"/>
      <c r="AZ492" s="149"/>
      <c r="BA492" s="149"/>
      <c r="BB492" s="149"/>
      <c r="BC492" s="149"/>
      <c r="BD492" s="149"/>
      <c r="BE492" s="149"/>
      <c r="BF492" s="149"/>
      <c r="BG492" s="149"/>
      <c r="BH492" s="149"/>
      <c r="BI492" s="149"/>
      <c r="BJ492" s="149"/>
      <c r="BK492" s="149"/>
      <c r="BL492" s="149"/>
      <c r="BM492" s="149"/>
      <c r="BN492" s="149"/>
      <c r="BO492" s="149"/>
      <c r="BP492" s="149"/>
      <c r="BQ492" s="149"/>
      <c r="BR492" s="149"/>
      <c r="BS492" s="149"/>
      <c r="BT492" s="149"/>
      <c r="BU492" s="149"/>
      <c r="BV492" s="149"/>
      <c r="BW492" s="149"/>
      <c r="BX492" s="149"/>
      <c r="BY492" s="149"/>
      <c r="BZ492" s="149"/>
      <c r="CA492" s="149"/>
      <c r="CB492" s="149"/>
      <c r="CC492" s="149"/>
      <c r="CD492" s="149"/>
      <c r="CE492" s="149"/>
      <c r="CF492" s="149"/>
      <c r="CG492" s="149"/>
      <c r="CH492" s="149"/>
      <c r="CI492" s="149"/>
      <c r="CJ492" s="149"/>
      <c r="CK492" s="149"/>
      <c r="CL492" s="149"/>
      <c r="CM492" s="149"/>
      <c r="CN492" s="149"/>
      <c r="CO492" s="149"/>
      <c r="CP492" s="149"/>
      <c r="CQ492" s="149"/>
      <c r="CR492" s="149"/>
      <c r="CS492" s="149"/>
      <c r="CT492" s="149"/>
      <c r="CU492" s="149"/>
      <c r="CV492" s="149"/>
      <c r="CW492" s="149"/>
      <c r="CX492" s="149"/>
      <c r="CY492" s="149"/>
      <c r="CZ492" s="149"/>
      <c r="DA492" s="149"/>
      <c r="DB492" s="149"/>
      <c r="DC492" s="149"/>
      <c r="DD492" s="149"/>
    </row>
    <row r="493" spans="1:108" x14ac:dyDescent="0.35">
      <c r="A493" s="149"/>
      <c r="E493" s="149"/>
      <c r="F493" s="149"/>
      <c r="G493" s="149"/>
      <c r="H493" s="149"/>
      <c r="I493" s="149"/>
      <c r="J493" s="149"/>
      <c r="K493" s="149"/>
      <c r="L493" s="149"/>
      <c r="M493" s="149"/>
      <c r="N493" s="149"/>
      <c r="O493" s="149"/>
      <c r="P493" s="149"/>
      <c r="Q493" s="149"/>
      <c r="R493" s="149"/>
      <c r="S493" s="149"/>
      <c r="T493" s="149"/>
      <c r="U493" s="149"/>
      <c r="V493" s="149"/>
      <c r="W493" s="149"/>
      <c r="X493" s="149"/>
      <c r="Y493" s="149"/>
      <c r="Z493" s="149"/>
      <c r="AA493" s="149"/>
      <c r="AB493" s="149"/>
      <c r="AC493" s="149"/>
      <c r="AD493" s="149"/>
      <c r="AE493" s="149"/>
      <c r="AF493" s="149"/>
      <c r="AG493" s="149"/>
      <c r="AH493" s="149"/>
      <c r="AI493" s="149"/>
      <c r="AJ493" s="149"/>
      <c r="AK493" s="149"/>
      <c r="AL493" s="149"/>
      <c r="AM493" s="149"/>
      <c r="AN493" s="149"/>
      <c r="AO493" s="149"/>
      <c r="AP493" s="149"/>
      <c r="AQ493" s="149"/>
      <c r="AR493" s="149"/>
      <c r="AS493" s="149"/>
      <c r="AT493" s="149"/>
      <c r="AU493" s="149"/>
      <c r="AV493" s="149"/>
      <c r="AW493" s="149"/>
      <c r="AX493" s="149"/>
      <c r="AY493" s="149"/>
      <c r="AZ493" s="149"/>
      <c r="BA493" s="149"/>
      <c r="BB493" s="149"/>
      <c r="BC493" s="149"/>
      <c r="BD493" s="149"/>
      <c r="BE493" s="149"/>
      <c r="BF493" s="149"/>
      <c r="BG493" s="149"/>
      <c r="BH493" s="149"/>
      <c r="BI493" s="149"/>
      <c r="BJ493" s="149"/>
      <c r="BK493" s="149"/>
      <c r="BL493" s="149"/>
      <c r="BM493" s="149"/>
      <c r="BN493" s="149"/>
      <c r="BO493" s="149"/>
      <c r="BP493" s="149"/>
      <c r="BQ493" s="149"/>
      <c r="BR493" s="149"/>
      <c r="BS493" s="149"/>
      <c r="BT493" s="149"/>
      <c r="BU493" s="149"/>
      <c r="BV493" s="149"/>
      <c r="BW493" s="149"/>
      <c r="BX493" s="149"/>
      <c r="BY493" s="149"/>
      <c r="BZ493" s="149"/>
      <c r="CA493" s="149"/>
      <c r="CB493" s="149"/>
      <c r="CC493" s="149"/>
      <c r="CD493" s="149"/>
      <c r="CE493" s="149"/>
      <c r="CF493" s="149"/>
      <c r="CG493" s="149"/>
      <c r="CH493" s="149"/>
      <c r="CI493" s="149"/>
      <c r="CJ493" s="149"/>
      <c r="CK493" s="149"/>
      <c r="CL493" s="149"/>
      <c r="CM493" s="149"/>
      <c r="CN493" s="149"/>
      <c r="CO493" s="149"/>
      <c r="CP493" s="149"/>
      <c r="CQ493" s="149"/>
      <c r="CR493" s="149"/>
      <c r="CS493" s="149"/>
      <c r="CT493" s="149"/>
      <c r="CU493" s="149"/>
      <c r="CV493" s="149"/>
      <c r="CW493" s="149"/>
      <c r="CX493" s="149"/>
      <c r="CY493" s="149"/>
      <c r="CZ493" s="149"/>
      <c r="DA493" s="149"/>
      <c r="DB493" s="149"/>
      <c r="DC493" s="149"/>
      <c r="DD493" s="149"/>
    </row>
    <row r="494" spans="1:108" x14ac:dyDescent="0.35">
      <c r="A494" s="149"/>
      <c r="E494" s="149"/>
      <c r="F494" s="149"/>
      <c r="G494" s="149"/>
      <c r="H494" s="149"/>
      <c r="I494" s="149"/>
      <c r="J494" s="149"/>
      <c r="K494" s="149"/>
      <c r="L494" s="149"/>
      <c r="M494" s="149"/>
      <c r="N494" s="149"/>
      <c r="O494" s="149"/>
      <c r="P494" s="149"/>
      <c r="Q494" s="149"/>
      <c r="R494" s="149"/>
      <c r="S494" s="149"/>
      <c r="T494" s="149"/>
      <c r="U494" s="149"/>
      <c r="V494" s="149"/>
      <c r="W494" s="149"/>
      <c r="X494" s="149"/>
      <c r="Y494" s="149"/>
      <c r="Z494" s="149"/>
      <c r="AA494" s="149"/>
      <c r="AB494" s="149"/>
      <c r="AC494" s="149"/>
      <c r="AD494" s="149"/>
      <c r="AE494" s="149"/>
      <c r="AF494" s="149"/>
      <c r="AG494" s="149"/>
      <c r="AH494" s="149"/>
      <c r="AI494" s="149"/>
      <c r="AJ494" s="149"/>
      <c r="AK494" s="149"/>
      <c r="AL494" s="149"/>
      <c r="AM494" s="149"/>
      <c r="AN494" s="149"/>
      <c r="AO494" s="149"/>
      <c r="AP494" s="149"/>
      <c r="AQ494" s="149"/>
      <c r="AR494" s="149"/>
      <c r="AS494" s="149"/>
      <c r="AT494" s="149"/>
      <c r="AU494" s="149"/>
      <c r="AV494" s="149"/>
      <c r="AW494" s="149"/>
      <c r="AX494" s="149"/>
      <c r="AY494" s="149"/>
      <c r="AZ494" s="149"/>
      <c r="BA494" s="149"/>
      <c r="BB494" s="149"/>
      <c r="BC494" s="149"/>
      <c r="BD494" s="149"/>
      <c r="BE494" s="149"/>
      <c r="BF494" s="149"/>
      <c r="BG494" s="149"/>
      <c r="BH494" s="149"/>
      <c r="BI494" s="149"/>
      <c r="BJ494" s="149"/>
      <c r="BK494" s="149"/>
      <c r="BL494" s="149"/>
      <c r="BM494" s="149"/>
      <c r="BN494" s="149"/>
      <c r="BO494" s="149"/>
      <c r="BP494" s="149"/>
      <c r="BQ494" s="149"/>
      <c r="BR494" s="149"/>
      <c r="BS494" s="149"/>
      <c r="BT494" s="149"/>
      <c r="BU494" s="149"/>
      <c r="BV494" s="149"/>
      <c r="BW494" s="149"/>
      <c r="BX494" s="149"/>
      <c r="BY494" s="149"/>
      <c r="BZ494" s="149"/>
      <c r="CA494" s="149"/>
      <c r="CB494" s="149"/>
      <c r="CC494" s="149"/>
      <c r="CD494" s="149"/>
      <c r="CE494" s="149"/>
      <c r="CF494" s="149"/>
      <c r="CG494" s="149"/>
      <c r="CH494" s="149"/>
      <c r="CI494" s="149"/>
      <c r="CJ494" s="149"/>
      <c r="CK494" s="149"/>
      <c r="CL494" s="149"/>
      <c r="CM494" s="149"/>
      <c r="CN494" s="149"/>
      <c r="CO494" s="149"/>
      <c r="CP494" s="149"/>
      <c r="CQ494" s="149"/>
      <c r="CR494" s="149"/>
      <c r="CS494" s="149"/>
      <c r="CT494" s="149"/>
      <c r="CU494" s="149"/>
      <c r="CV494" s="149"/>
      <c r="CW494" s="149"/>
      <c r="CX494" s="149"/>
      <c r="CY494" s="149"/>
      <c r="CZ494" s="149"/>
      <c r="DA494" s="149"/>
      <c r="DB494" s="149"/>
      <c r="DC494" s="149"/>
      <c r="DD494" s="149"/>
    </row>
    <row r="495" spans="1:108" x14ac:dyDescent="0.35">
      <c r="A495" s="149"/>
      <c r="E495" s="149"/>
      <c r="F495" s="149"/>
      <c r="G495" s="149"/>
      <c r="H495" s="149"/>
      <c r="I495" s="149"/>
      <c r="J495" s="149"/>
      <c r="K495" s="149"/>
      <c r="L495" s="149"/>
      <c r="M495" s="149"/>
      <c r="N495" s="149"/>
      <c r="O495" s="149"/>
      <c r="P495" s="149"/>
      <c r="Q495" s="149"/>
      <c r="R495" s="149"/>
      <c r="S495" s="149"/>
      <c r="T495" s="149"/>
      <c r="U495" s="149"/>
      <c r="V495" s="149"/>
      <c r="W495" s="149"/>
      <c r="X495" s="149"/>
      <c r="Y495" s="149"/>
      <c r="Z495" s="149"/>
      <c r="AA495" s="149"/>
      <c r="AB495" s="149"/>
      <c r="AC495" s="149"/>
      <c r="AD495" s="149"/>
      <c r="AE495" s="149"/>
      <c r="AF495" s="149"/>
      <c r="AG495" s="149"/>
      <c r="AH495" s="149"/>
      <c r="AI495" s="149"/>
      <c r="AJ495" s="149"/>
      <c r="AK495" s="149"/>
      <c r="AL495" s="149"/>
      <c r="AM495" s="149"/>
      <c r="AN495" s="149"/>
      <c r="AO495" s="149"/>
      <c r="AP495" s="149"/>
      <c r="AQ495" s="149"/>
      <c r="AR495" s="149"/>
      <c r="AS495" s="149"/>
      <c r="AT495" s="149"/>
      <c r="AU495" s="149"/>
      <c r="AV495" s="149"/>
      <c r="AW495" s="149"/>
      <c r="AX495" s="149"/>
      <c r="AY495" s="149"/>
      <c r="AZ495" s="149"/>
      <c r="BA495" s="149"/>
      <c r="BB495" s="149"/>
      <c r="BC495" s="149"/>
      <c r="BD495" s="149"/>
      <c r="BE495" s="149"/>
      <c r="BF495" s="149"/>
      <c r="BG495" s="149"/>
      <c r="BH495" s="149"/>
      <c r="BI495" s="149"/>
      <c r="BJ495" s="149"/>
      <c r="BK495" s="149"/>
      <c r="BL495" s="149"/>
      <c r="BM495" s="149"/>
      <c r="BN495" s="149"/>
      <c r="BO495" s="149"/>
      <c r="BP495" s="149"/>
      <c r="BQ495" s="149"/>
      <c r="BR495" s="149"/>
      <c r="BS495" s="149"/>
      <c r="BT495" s="149"/>
      <c r="BU495" s="149"/>
      <c r="BV495" s="149"/>
      <c r="BW495" s="149"/>
      <c r="BX495" s="149"/>
      <c r="BY495" s="149"/>
      <c r="BZ495" s="149"/>
      <c r="CA495" s="149"/>
      <c r="CB495" s="149"/>
      <c r="CC495" s="149"/>
      <c r="CD495" s="149"/>
      <c r="CE495" s="149"/>
      <c r="CF495" s="149"/>
      <c r="CG495" s="149"/>
      <c r="CH495" s="149"/>
      <c r="CI495" s="149"/>
      <c r="CJ495" s="149"/>
      <c r="CK495" s="149"/>
      <c r="CL495" s="149"/>
      <c r="CM495" s="149"/>
      <c r="CN495" s="149"/>
      <c r="CO495" s="149"/>
      <c r="CP495" s="149"/>
      <c r="CQ495" s="149"/>
      <c r="CR495" s="149"/>
      <c r="CS495" s="149"/>
      <c r="CT495" s="149"/>
      <c r="CU495" s="149"/>
      <c r="CV495" s="149"/>
      <c r="CW495" s="149"/>
      <c r="CX495" s="149"/>
      <c r="CY495" s="149"/>
      <c r="CZ495" s="149"/>
      <c r="DA495" s="149"/>
      <c r="DB495" s="149"/>
      <c r="DC495" s="149"/>
      <c r="DD495" s="149"/>
    </row>
    <row r="496" spans="1:108" x14ac:dyDescent="0.35">
      <c r="A496" s="149"/>
      <c r="E496" s="149"/>
      <c r="F496" s="149"/>
      <c r="G496" s="149"/>
      <c r="H496" s="149"/>
      <c r="I496" s="149"/>
      <c r="J496" s="149"/>
      <c r="K496" s="149"/>
      <c r="L496" s="149"/>
      <c r="M496" s="149"/>
      <c r="N496" s="149"/>
      <c r="O496" s="149"/>
      <c r="P496" s="149"/>
      <c r="Q496" s="149"/>
      <c r="R496" s="149"/>
      <c r="S496" s="149"/>
      <c r="T496" s="149"/>
      <c r="U496" s="149"/>
      <c r="V496" s="149"/>
      <c r="W496" s="149"/>
      <c r="X496" s="149"/>
      <c r="Y496" s="149"/>
      <c r="Z496" s="149"/>
      <c r="AA496" s="149"/>
      <c r="AB496" s="149"/>
      <c r="AC496" s="149"/>
      <c r="AD496" s="149"/>
      <c r="AE496" s="149"/>
      <c r="AF496" s="149"/>
      <c r="AG496" s="149"/>
      <c r="AH496" s="149"/>
      <c r="AI496" s="149"/>
      <c r="AJ496" s="149"/>
      <c r="AK496" s="149"/>
      <c r="AL496" s="149"/>
      <c r="AM496" s="149"/>
      <c r="AN496" s="149"/>
      <c r="AO496" s="149"/>
      <c r="AP496" s="149"/>
      <c r="AQ496" s="149"/>
      <c r="AR496" s="149"/>
      <c r="AS496" s="149"/>
      <c r="AT496" s="149"/>
      <c r="AU496" s="149"/>
      <c r="AV496" s="149"/>
      <c r="AW496" s="149"/>
      <c r="AX496" s="149"/>
      <c r="AY496" s="149"/>
      <c r="AZ496" s="149"/>
      <c r="BA496" s="149"/>
      <c r="BB496" s="149"/>
      <c r="BC496" s="149"/>
      <c r="BD496" s="149"/>
      <c r="BE496" s="149"/>
      <c r="BF496" s="149"/>
      <c r="BG496" s="149"/>
      <c r="BH496" s="149"/>
      <c r="BI496" s="149"/>
      <c r="BJ496" s="149"/>
      <c r="BK496" s="149"/>
      <c r="BL496" s="149"/>
      <c r="BM496" s="149"/>
      <c r="BN496" s="149"/>
      <c r="BO496" s="149"/>
      <c r="BP496" s="149"/>
      <c r="BQ496" s="149"/>
      <c r="BR496" s="149"/>
      <c r="BS496" s="149"/>
      <c r="BT496" s="149"/>
      <c r="BU496" s="149"/>
      <c r="BV496" s="149"/>
      <c r="BW496" s="149"/>
      <c r="BX496" s="149"/>
      <c r="BY496" s="149"/>
      <c r="BZ496" s="149"/>
      <c r="CA496" s="149"/>
      <c r="CB496" s="149"/>
      <c r="CC496" s="149"/>
      <c r="CD496" s="149"/>
      <c r="CE496" s="149"/>
      <c r="CF496" s="149"/>
      <c r="CG496" s="149"/>
      <c r="CH496" s="149"/>
      <c r="CI496" s="149"/>
      <c r="CJ496" s="149"/>
      <c r="CK496" s="149"/>
      <c r="CL496" s="149"/>
      <c r="CM496" s="149"/>
      <c r="CN496" s="149"/>
      <c r="CO496" s="149"/>
      <c r="CP496" s="149"/>
      <c r="CQ496" s="149"/>
      <c r="CR496" s="149"/>
      <c r="CS496" s="149"/>
      <c r="CT496" s="149"/>
      <c r="CU496" s="149"/>
      <c r="CV496" s="149"/>
      <c r="CW496" s="149"/>
      <c r="CX496" s="149"/>
      <c r="CY496" s="149"/>
      <c r="CZ496" s="149"/>
      <c r="DA496" s="149"/>
      <c r="DB496" s="149"/>
      <c r="DC496" s="149"/>
      <c r="DD496" s="149"/>
    </row>
    <row r="497" spans="1:108" x14ac:dyDescent="0.35">
      <c r="A497" s="149"/>
      <c r="E497" s="149"/>
      <c r="F497" s="149"/>
      <c r="G497" s="149"/>
      <c r="H497" s="149"/>
      <c r="I497" s="149"/>
      <c r="J497" s="149"/>
      <c r="K497" s="149"/>
      <c r="L497" s="149"/>
      <c r="M497" s="149"/>
      <c r="N497" s="149"/>
      <c r="O497" s="149"/>
      <c r="P497" s="149"/>
      <c r="Q497" s="149"/>
      <c r="R497" s="149"/>
      <c r="S497" s="149"/>
      <c r="T497" s="149"/>
      <c r="U497" s="149"/>
      <c r="V497" s="149"/>
      <c r="W497" s="149"/>
      <c r="X497" s="149"/>
      <c r="Y497" s="149"/>
      <c r="Z497" s="149"/>
      <c r="AA497" s="149"/>
      <c r="AB497" s="149"/>
      <c r="AC497" s="149"/>
      <c r="AD497" s="149"/>
      <c r="AE497" s="149"/>
      <c r="AF497" s="149"/>
      <c r="AG497" s="149"/>
      <c r="AH497" s="149"/>
      <c r="AI497" s="149"/>
      <c r="AJ497" s="149"/>
      <c r="AK497" s="149"/>
      <c r="AL497" s="149"/>
      <c r="AM497" s="149"/>
      <c r="AN497" s="149"/>
      <c r="AO497" s="149"/>
      <c r="AP497" s="149"/>
      <c r="AQ497" s="149"/>
      <c r="AR497" s="149"/>
      <c r="AS497" s="149"/>
      <c r="AT497" s="149"/>
      <c r="AU497" s="149"/>
      <c r="AV497" s="149"/>
      <c r="AW497" s="149"/>
      <c r="AX497" s="149"/>
      <c r="AY497" s="149"/>
      <c r="AZ497" s="149"/>
      <c r="BA497" s="149"/>
      <c r="BB497" s="149"/>
      <c r="BC497" s="149"/>
      <c r="BD497" s="149"/>
      <c r="BE497" s="149"/>
      <c r="BF497" s="149"/>
      <c r="BG497" s="149"/>
      <c r="BH497" s="149"/>
      <c r="BI497" s="149"/>
      <c r="BJ497" s="149"/>
      <c r="BK497" s="149"/>
      <c r="BL497" s="149"/>
      <c r="BM497" s="149"/>
      <c r="BN497" s="149"/>
      <c r="BO497" s="149"/>
      <c r="BP497" s="149"/>
      <c r="BQ497" s="149"/>
      <c r="BR497" s="149"/>
      <c r="BS497" s="149"/>
      <c r="BT497" s="149"/>
      <c r="BU497" s="149"/>
      <c r="BV497" s="149"/>
      <c r="BW497" s="149"/>
      <c r="BX497" s="149"/>
      <c r="BY497" s="149"/>
      <c r="BZ497" s="149"/>
      <c r="CA497" s="149"/>
      <c r="CB497" s="149"/>
      <c r="CC497" s="149"/>
      <c r="CD497" s="149"/>
      <c r="CE497" s="149"/>
      <c r="CF497" s="149"/>
      <c r="CG497" s="149"/>
      <c r="CH497" s="149"/>
      <c r="CI497" s="149"/>
      <c r="CJ497" s="149"/>
      <c r="CK497" s="149"/>
      <c r="CL497" s="149"/>
      <c r="CM497" s="149"/>
      <c r="CN497" s="149"/>
      <c r="CO497" s="149"/>
      <c r="CP497" s="149"/>
      <c r="CQ497" s="149"/>
      <c r="CR497" s="149"/>
      <c r="CS497" s="149"/>
      <c r="CT497" s="149"/>
      <c r="CU497" s="149"/>
      <c r="CV497" s="149"/>
      <c r="CW497" s="149"/>
      <c r="CX497" s="149"/>
      <c r="CY497" s="149"/>
      <c r="CZ497" s="149"/>
      <c r="DA497" s="149"/>
      <c r="DB497" s="149"/>
      <c r="DC497" s="149"/>
      <c r="DD497" s="149"/>
    </row>
    <row r="498" spans="1:108" x14ac:dyDescent="0.35">
      <c r="A498" s="149"/>
      <c r="E498" s="149"/>
      <c r="F498" s="149"/>
      <c r="G498" s="149"/>
      <c r="H498" s="149"/>
      <c r="I498" s="149"/>
      <c r="J498" s="149"/>
      <c r="K498" s="149"/>
      <c r="L498" s="149"/>
      <c r="M498" s="149"/>
      <c r="N498" s="149"/>
      <c r="O498" s="149"/>
      <c r="P498" s="149"/>
      <c r="Q498" s="149"/>
      <c r="R498" s="149"/>
      <c r="S498" s="149"/>
      <c r="T498" s="149"/>
      <c r="U498" s="149"/>
      <c r="V498" s="149"/>
      <c r="W498" s="149"/>
      <c r="X498" s="149"/>
      <c r="Y498" s="149"/>
      <c r="Z498" s="149"/>
      <c r="AA498" s="149"/>
      <c r="AB498" s="149"/>
      <c r="AC498" s="149"/>
      <c r="AD498" s="149"/>
      <c r="AE498" s="149"/>
      <c r="AF498" s="149"/>
      <c r="AG498" s="149"/>
      <c r="AH498" s="149"/>
      <c r="AI498" s="149"/>
      <c r="AJ498" s="149"/>
      <c r="AK498" s="149"/>
      <c r="AL498" s="149"/>
      <c r="AM498" s="149"/>
      <c r="AN498" s="149"/>
      <c r="AO498" s="149"/>
      <c r="AP498" s="149"/>
      <c r="AQ498" s="149"/>
      <c r="AR498" s="149"/>
      <c r="AS498" s="149"/>
      <c r="AT498" s="149"/>
      <c r="AU498" s="149"/>
      <c r="AV498" s="149"/>
      <c r="AW498" s="149"/>
      <c r="AX498" s="149"/>
      <c r="AY498" s="149"/>
      <c r="AZ498" s="149"/>
      <c r="BA498" s="149"/>
      <c r="BB498" s="149"/>
      <c r="BC498" s="149"/>
      <c r="BD498" s="149"/>
      <c r="BE498" s="149"/>
      <c r="BF498" s="149"/>
      <c r="BG498" s="149"/>
      <c r="BH498" s="149"/>
      <c r="BI498" s="149"/>
      <c r="BJ498" s="149"/>
      <c r="BK498" s="149"/>
      <c r="BL498" s="149"/>
      <c r="BM498" s="149"/>
      <c r="BN498" s="149"/>
      <c r="BO498" s="149"/>
      <c r="BP498" s="149"/>
      <c r="BQ498" s="149"/>
      <c r="BR498" s="149"/>
      <c r="BS498" s="149"/>
      <c r="BT498" s="149"/>
      <c r="BU498" s="149"/>
      <c r="BV498" s="149"/>
      <c r="BW498" s="149"/>
      <c r="BX498" s="149"/>
      <c r="BY498" s="149"/>
      <c r="BZ498" s="149"/>
      <c r="CA498" s="149"/>
      <c r="CB498" s="149"/>
      <c r="CC498" s="149"/>
      <c r="CD498" s="149"/>
      <c r="CE498" s="149"/>
      <c r="CF498" s="149"/>
      <c r="CG498" s="149"/>
      <c r="CH498" s="149"/>
      <c r="CI498" s="149"/>
      <c r="CJ498" s="149"/>
      <c r="CK498" s="149"/>
      <c r="CL498" s="149"/>
      <c r="CM498" s="149"/>
      <c r="CN498" s="149"/>
      <c r="CO498" s="149"/>
      <c r="CP498" s="149"/>
      <c r="CQ498" s="149"/>
      <c r="CR498" s="149"/>
      <c r="CS498" s="149"/>
      <c r="CT498" s="149"/>
      <c r="CU498" s="149"/>
      <c r="CV498" s="149"/>
      <c r="CW498" s="149"/>
      <c r="CX498" s="149"/>
      <c r="CY498" s="149"/>
      <c r="CZ498" s="149"/>
      <c r="DA498" s="149"/>
      <c r="DB498" s="149"/>
      <c r="DC498" s="149"/>
      <c r="DD498" s="149"/>
    </row>
    <row r="499" spans="1:108" x14ac:dyDescent="0.35">
      <c r="A499" s="149"/>
      <c r="E499" s="149"/>
      <c r="F499" s="149"/>
      <c r="G499" s="149"/>
      <c r="H499" s="149"/>
      <c r="I499" s="149"/>
      <c r="J499" s="149"/>
      <c r="K499" s="149"/>
      <c r="L499" s="149"/>
      <c r="M499" s="149"/>
      <c r="N499" s="149"/>
      <c r="O499" s="149"/>
      <c r="P499" s="149"/>
      <c r="Q499" s="149"/>
      <c r="R499" s="149"/>
      <c r="S499" s="149"/>
      <c r="T499" s="149"/>
      <c r="U499" s="149"/>
      <c r="V499" s="149"/>
      <c r="W499" s="149"/>
      <c r="X499" s="149"/>
      <c r="Y499" s="149"/>
      <c r="Z499" s="149"/>
      <c r="AA499" s="149"/>
      <c r="AB499" s="149"/>
      <c r="AC499" s="149"/>
      <c r="AD499" s="149"/>
      <c r="AE499" s="149"/>
      <c r="AF499" s="149"/>
      <c r="AG499" s="149"/>
      <c r="AH499" s="149"/>
      <c r="AI499" s="149"/>
      <c r="AJ499" s="149"/>
      <c r="AK499" s="149"/>
      <c r="AL499" s="149"/>
      <c r="AM499" s="149"/>
      <c r="AN499" s="149"/>
      <c r="AO499" s="149"/>
      <c r="AP499" s="149"/>
      <c r="AQ499" s="149"/>
      <c r="AR499" s="149"/>
      <c r="AS499" s="149"/>
      <c r="AT499" s="149"/>
      <c r="AU499" s="149"/>
      <c r="AV499" s="149"/>
      <c r="AW499" s="149"/>
      <c r="AX499" s="149"/>
      <c r="AY499" s="149"/>
      <c r="AZ499" s="149"/>
      <c r="BA499" s="149"/>
      <c r="BB499" s="149"/>
      <c r="BC499" s="149"/>
      <c r="BD499" s="149"/>
      <c r="BE499" s="149"/>
      <c r="BF499" s="149"/>
      <c r="BG499" s="149"/>
      <c r="BH499" s="149"/>
      <c r="BI499" s="149"/>
      <c r="BJ499" s="149"/>
      <c r="BK499" s="149"/>
      <c r="BL499" s="149"/>
      <c r="BM499" s="149"/>
      <c r="BN499" s="149"/>
      <c r="BO499" s="149"/>
      <c r="BP499" s="149"/>
      <c r="BQ499" s="149"/>
      <c r="BR499" s="149"/>
      <c r="BS499" s="149"/>
      <c r="BT499" s="149"/>
      <c r="BU499" s="149"/>
      <c r="BV499" s="149"/>
      <c r="BW499" s="149"/>
      <c r="BX499" s="149"/>
      <c r="BY499" s="149"/>
      <c r="BZ499" s="149"/>
      <c r="CA499" s="149"/>
      <c r="CB499" s="149"/>
      <c r="CC499" s="149"/>
      <c r="CD499" s="149"/>
      <c r="CE499" s="149"/>
      <c r="CF499" s="149"/>
      <c r="CG499" s="149"/>
      <c r="CH499" s="149"/>
      <c r="CI499" s="149"/>
      <c r="CJ499" s="149"/>
      <c r="CK499" s="149"/>
      <c r="CL499" s="149"/>
      <c r="CM499" s="149"/>
      <c r="CN499" s="149"/>
      <c r="CO499" s="149"/>
      <c r="CP499" s="149"/>
      <c r="CQ499" s="149"/>
      <c r="CR499" s="149"/>
      <c r="CS499" s="149"/>
      <c r="CT499" s="149"/>
      <c r="CU499" s="149"/>
      <c r="CV499" s="149"/>
      <c r="CW499" s="149"/>
      <c r="CX499" s="149"/>
      <c r="CY499" s="149"/>
      <c r="CZ499" s="149"/>
      <c r="DA499" s="149"/>
      <c r="DB499" s="149"/>
      <c r="DC499" s="149"/>
      <c r="DD499" s="149"/>
    </row>
    <row r="500" spans="1:108" x14ac:dyDescent="0.35">
      <c r="A500" s="149"/>
      <c r="E500" s="149"/>
      <c r="F500" s="149"/>
      <c r="G500" s="149"/>
      <c r="H500" s="149"/>
      <c r="I500" s="149"/>
      <c r="J500" s="149"/>
      <c r="K500" s="149"/>
      <c r="L500" s="149"/>
      <c r="M500" s="149"/>
      <c r="N500" s="149"/>
      <c r="O500" s="149"/>
      <c r="P500" s="149"/>
      <c r="Q500" s="149"/>
      <c r="R500" s="149"/>
      <c r="S500" s="149"/>
      <c r="T500" s="149"/>
      <c r="U500" s="149"/>
      <c r="V500" s="149"/>
      <c r="W500" s="149"/>
      <c r="X500" s="149"/>
      <c r="Y500" s="149"/>
      <c r="Z500" s="149"/>
      <c r="AA500" s="149"/>
      <c r="AB500" s="149"/>
      <c r="AC500" s="149"/>
      <c r="AD500" s="149"/>
      <c r="AE500" s="149"/>
      <c r="AF500" s="149"/>
      <c r="AG500" s="149"/>
      <c r="AH500" s="149"/>
      <c r="AI500" s="149"/>
      <c r="AJ500" s="149"/>
      <c r="AK500" s="149"/>
      <c r="AL500" s="149"/>
      <c r="AM500" s="149"/>
      <c r="AN500" s="149"/>
      <c r="AO500" s="149"/>
      <c r="AP500" s="149"/>
      <c r="AQ500" s="149"/>
      <c r="AR500" s="149"/>
      <c r="AS500" s="149"/>
      <c r="AT500" s="149"/>
      <c r="AU500" s="149"/>
      <c r="AV500" s="149"/>
      <c r="AW500" s="149"/>
      <c r="AX500" s="149"/>
      <c r="AY500" s="149"/>
      <c r="AZ500" s="149"/>
      <c r="BA500" s="149"/>
      <c r="BB500" s="149"/>
      <c r="BC500" s="149"/>
      <c r="BD500" s="149"/>
      <c r="BE500" s="149"/>
      <c r="BF500" s="149"/>
      <c r="BG500" s="149"/>
      <c r="BH500" s="149"/>
      <c r="BI500" s="149"/>
      <c r="BJ500" s="149"/>
      <c r="BK500" s="149"/>
      <c r="BL500" s="149"/>
      <c r="BM500" s="149"/>
      <c r="BN500" s="149"/>
      <c r="BO500" s="149"/>
      <c r="BP500" s="149"/>
      <c r="BQ500" s="149"/>
      <c r="BR500" s="149"/>
      <c r="BS500" s="149"/>
      <c r="BT500" s="149"/>
      <c r="BU500" s="149"/>
      <c r="BV500" s="149"/>
      <c r="BW500" s="149"/>
      <c r="BX500" s="149"/>
      <c r="BY500" s="149"/>
      <c r="BZ500" s="149"/>
      <c r="CA500" s="149"/>
      <c r="CB500" s="149"/>
      <c r="CC500" s="149"/>
      <c r="CD500" s="149"/>
      <c r="CE500" s="149"/>
      <c r="CF500" s="149"/>
      <c r="CG500" s="149"/>
      <c r="CH500" s="149"/>
      <c r="CI500" s="149"/>
      <c r="CJ500" s="149"/>
      <c r="CK500" s="149"/>
      <c r="CL500" s="149"/>
      <c r="CM500" s="149"/>
      <c r="CN500" s="149"/>
      <c r="CO500" s="149"/>
      <c r="CP500" s="149"/>
      <c r="CQ500" s="149"/>
      <c r="CR500" s="149"/>
      <c r="CS500" s="149"/>
      <c r="CT500" s="149"/>
      <c r="CU500" s="149"/>
      <c r="CV500" s="149"/>
      <c r="CW500" s="149"/>
      <c r="CX500" s="149"/>
      <c r="CY500" s="149"/>
      <c r="CZ500" s="149"/>
      <c r="DA500" s="149"/>
      <c r="DB500" s="149"/>
      <c r="DC500" s="149"/>
      <c r="DD500" s="149"/>
    </row>
    <row r="501" spans="1:108" x14ac:dyDescent="0.35">
      <c r="A501" s="149"/>
      <c r="E501" s="149"/>
      <c r="F501" s="149"/>
      <c r="G501" s="149"/>
      <c r="H501" s="149"/>
      <c r="I501" s="149"/>
      <c r="J501" s="149"/>
      <c r="K501" s="149"/>
      <c r="L501" s="149"/>
      <c r="M501" s="149"/>
      <c r="N501" s="149"/>
      <c r="O501" s="149"/>
      <c r="P501" s="149"/>
      <c r="Q501" s="149"/>
      <c r="R501" s="149"/>
      <c r="S501" s="149"/>
      <c r="T501" s="149"/>
      <c r="U501" s="149"/>
      <c r="V501" s="149"/>
      <c r="W501" s="149"/>
      <c r="X501" s="149"/>
      <c r="Y501" s="149"/>
      <c r="Z501" s="149"/>
      <c r="AA501" s="149"/>
      <c r="AB501" s="149"/>
      <c r="AC501" s="149"/>
      <c r="AD501" s="149"/>
      <c r="AE501" s="149"/>
      <c r="AF501" s="149"/>
      <c r="AG501" s="149"/>
      <c r="AH501" s="149"/>
      <c r="AI501" s="149"/>
      <c r="AJ501" s="149"/>
      <c r="AK501" s="149"/>
      <c r="AL501" s="149"/>
      <c r="AM501" s="149"/>
      <c r="AN501" s="149"/>
      <c r="AO501" s="149"/>
      <c r="AP501" s="149"/>
      <c r="AQ501" s="149"/>
      <c r="AR501" s="149"/>
      <c r="AS501" s="149"/>
      <c r="AT501" s="149"/>
      <c r="AU501" s="149"/>
      <c r="AV501" s="149"/>
      <c r="AW501" s="149"/>
      <c r="AX501" s="149"/>
      <c r="AY501" s="149"/>
      <c r="AZ501" s="149"/>
      <c r="BA501" s="149"/>
      <c r="BB501" s="149"/>
      <c r="BC501" s="149"/>
      <c r="BD501" s="149"/>
      <c r="BE501" s="149"/>
      <c r="BF501" s="149"/>
      <c r="BG501" s="149"/>
      <c r="BH501" s="149"/>
      <c r="BI501" s="149"/>
      <c r="BJ501" s="149"/>
      <c r="BK501" s="149"/>
      <c r="BL501" s="149"/>
      <c r="BM501" s="149"/>
      <c r="BN501" s="149"/>
      <c r="BO501" s="149"/>
      <c r="BP501" s="149"/>
      <c r="BQ501" s="149"/>
      <c r="BR501" s="149"/>
      <c r="BS501" s="149"/>
      <c r="BT501" s="149"/>
      <c r="BU501" s="149"/>
      <c r="BV501" s="149"/>
      <c r="BW501" s="149"/>
      <c r="BX501" s="149"/>
      <c r="BY501" s="149"/>
      <c r="BZ501" s="149"/>
      <c r="CA501" s="149"/>
      <c r="CB501" s="149"/>
      <c r="CC501" s="149"/>
      <c r="CD501" s="149"/>
      <c r="CE501" s="149"/>
      <c r="CF501" s="149"/>
      <c r="CG501" s="149"/>
      <c r="CH501" s="149"/>
      <c r="CI501" s="149"/>
      <c r="CJ501" s="149"/>
      <c r="CK501" s="149"/>
      <c r="CL501" s="149"/>
      <c r="CM501" s="149"/>
      <c r="CN501" s="149"/>
      <c r="CO501" s="149"/>
      <c r="CP501" s="149"/>
      <c r="CQ501" s="149"/>
      <c r="CR501" s="149"/>
      <c r="CS501" s="149"/>
      <c r="CT501" s="149"/>
      <c r="CU501" s="149"/>
      <c r="CV501" s="149"/>
      <c r="CW501" s="149"/>
      <c r="CX501" s="149"/>
      <c r="CY501" s="149"/>
      <c r="CZ501" s="149"/>
      <c r="DA501" s="149"/>
      <c r="DB501" s="149"/>
      <c r="DC501" s="149"/>
      <c r="DD501" s="149"/>
    </row>
    <row r="502" spans="1:108" x14ac:dyDescent="0.35">
      <c r="A502" s="149"/>
      <c r="E502" s="149"/>
      <c r="F502" s="149"/>
      <c r="G502" s="149"/>
      <c r="H502" s="149"/>
      <c r="I502" s="149"/>
      <c r="J502" s="149"/>
      <c r="K502" s="149"/>
      <c r="L502" s="149"/>
      <c r="M502" s="149"/>
      <c r="N502" s="149"/>
      <c r="O502" s="149"/>
      <c r="P502" s="149"/>
      <c r="Q502" s="149"/>
      <c r="R502" s="149"/>
      <c r="S502" s="149"/>
      <c r="T502" s="149"/>
      <c r="U502" s="149"/>
      <c r="V502" s="149"/>
      <c r="W502" s="149"/>
      <c r="X502" s="149"/>
      <c r="Y502" s="149"/>
      <c r="Z502" s="149"/>
      <c r="AA502" s="149"/>
      <c r="AB502" s="149"/>
      <c r="AC502" s="149"/>
      <c r="AD502" s="149"/>
      <c r="AE502" s="149"/>
      <c r="AF502" s="149"/>
      <c r="AG502" s="149"/>
      <c r="AH502" s="149"/>
      <c r="AI502" s="149"/>
      <c r="AJ502" s="149"/>
      <c r="AK502" s="149"/>
      <c r="AL502" s="149"/>
      <c r="AM502" s="149"/>
      <c r="AN502" s="149"/>
      <c r="AO502" s="149"/>
      <c r="AP502" s="149"/>
      <c r="AQ502" s="149"/>
      <c r="AR502" s="149"/>
      <c r="AS502" s="149"/>
      <c r="AT502" s="149"/>
      <c r="AU502" s="149"/>
      <c r="AV502" s="149"/>
      <c r="AW502" s="149"/>
      <c r="AX502" s="149"/>
      <c r="AY502" s="149"/>
      <c r="AZ502" s="149"/>
      <c r="BA502" s="149"/>
      <c r="BB502" s="149"/>
      <c r="BC502" s="149"/>
      <c r="BD502" s="149"/>
      <c r="BE502" s="149"/>
      <c r="BF502" s="149"/>
      <c r="BG502" s="149"/>
      <c r="BH502" s="149"/>
      <c r="BI502" s="149"/>
      <c r="BJ502" s="149"/>
      <c r="BK502" s="149"/>
      <c r="BL502" s="149"/>
      <c r="BM502" s="149"/>
      <c r="BN502" s="149"/>
      <c r="BO502" s="149"/>
      <c r="BP502" s="149"/>
      <c r="BQ502" s="149"/>
      <c r="BR502" s="149"/>
      <c r="BS502" s="149"/>
      <c r="BT502" s="149"/>
      <c r="BU502" s="149"/>
      <c r="BV502" s="149"/>
      <c r="BW502" s="149"/>
      <c r="BX502" s="149"/>
      <c r="BY502" s="149"/>
      <c r="BZ502" s="149"/>
      <c r="CA502" s="149"/>
      <c r="CB502" s="149"/>
      <c r="CC502" s="149"/>
      <c r="CD502" s="149"/>
      <c r="CE502" s="149"/>
      <c r="CF502" s="149"/>
      <c r="CG502" s="149"/>
      <c r="CH502" s="149"/>
      <c r="CI502" s="149"/>
      <c r="CJ502" s="149"/>
      <c r="CK502" s="149"/>
      <c r="CL502" s="149"/>
      <c r="CM502" s="149"/>
      <c r="CN502" s="149"/>
      <c r="CO502" s="149"/>
      <c r="CP502" s="149"/>
      <c r="CQ502" s="149"/>
      <c r="CR502" s="149"/>
      <c r="CS502" s="149"/>
      <c r="CT502" s="149"/>
      <c r="CU502" s="149"/>
      <c r="CV502" s="149"/>
      <c r="CW502" s="149"/>
      <c r="CX502" s="149"/>
      <c r="CY502" s="149"/>
      <c r="CZ502" s="149"/>
      <c r="DA502" s="149"/>
      <c r="DB502" s="149"/>
      <c r="DC502" s="149"/>
      <c r="DD502" s="149"/>
    </row>
    <row r="503" spans="1:108" x14ac:dyDescent="0.35">
      <c r="A503" s="149"/>
      <c r="E503" s="149"/>
      <c r="F503" s="149"/>
      <c r="G503" s="149"/>
      <c r="H503" s="149"/>
      <c r="I503" s="149"/>
      <c r="J503" s="149"/>
      <c r="K503" s="149"/>
      <c r="L503" s="149"/>
      <c r="M503" s="149"/>
      <c r="N503" s="149"/>
      <c r="O503" s="149"/>
      <c r="P503" s="149"/>
      <c r="Q503" s="149"/>
      <c r="R503" s="149"/>
      <c r="S503" s="149"/>
      <c r="T503" s="149"/>
      <c r="U503" s="149"/>
      <c r="V503" s="149"/>
      <c r="W503" s="149"/>
      <c r="X503" s="149"/>
      <c r="Y503" s="149"/>
      <c r="Z503" s="149"/>
      <c r="AA503" s="149"/>
      <c r="AB503" s="149"/>
      <c r="AC503" s="149"/>
      <c r="AD503" s="149"/>
      <c r="AE503" s="149"/>
      <c r="AF503" s="149"/>
      <c r="AG503" s="149"/>
      <c r="AH503" s="149"/>
      <c r="AI503" s="149"/>
      <c r="AJ503" s="149"/>
      <c r="AK503" s="149"/>
      <c r="AL503" s="149"/>
      <c r="AM503" s="149"/>
      <c r="AN503" s="149"/>
      <c r="AO503" s="149"/>
      <c r="AP503" s="149"/>
      <c r="AQ503" s="149"/>
      <c r="AR503" s="149"/>
      <c r="AS503" s="149"/>
      <c r="AT503" s="149"/>
      <c r="AU503" s="149"/>
      <c r="AV503" s="149"/>
      <c r="AW503" s="149"/>
      <c r="AX503" s="149"/>
      <c r="AY503" s="149"/>
      <c r="AZ503" s="149"/>
      <c r="BA503" s="149"/>
      <c r="BB503" s="149"/>
      <c r="BC503" s="149"/>
      <c r="BD503" s="149"/>
      <c r="BE503" s="149"/>
      <c r="BF503" s="149"/>
      <c r="BG503" s="149"/>
      <c r="BH503" s="149"/>
      <c r="BI503" s="149"/>
      <c r="BJ503" s="149"/>
      <c r="BK503" s="149"/>
      <c r="BL503" s="149"/>
      <c r="BM503" s="149"/>
      <c r="BN503" s="149"/>
      <c r="BO503" s="149"/>
      <c r="BP503" s="149"/>
      <c r="BQ503" s="149"/>
      <c r="BR503" s="149"/>
      <c r="BS503" s="149"/>
      <c r="BT503" s="149"/>
      <c r="BU503" s="149"/>
      <c r="BV503" s="149"/>
      <c r="BW503" s="149"/>
      <c r="BX503" s="149"/>
      <c r="BY503" s="149"/>
      <c r="BZ503" s="149"/>
      <c r="CA503" s="149"/>
      <c r="CB503" s="149"/>
      <c r="CC503" s="149"/>
      <c r="CD503" s="149"/>
      <c r="CE503" s="149"/>
      <c r="CF503" s="149"/>
      <c r="CG503" s="149"/>
      <c r="CH503" s="149"/>
      <c r="CI503" s="149"/>
      <c r="CJ503" s="149"/>
      <c r="CK503" s="149"/>
      <c r="CL503" s="149"/>
      <c r="CM503" s="149"/>
      <c r="CN503" s="149"/>
      <c r="CO503" s="149"/>
      <c r="CP503" s="149"/>
      <c r="CQ503" s="149"/>
      <c r="CR503" s="149"/>
      <c r="CS503" s="149"/>
      <c r="CT503" s="149"/>
      <c r="CU503" s="149"/>
      <c r="CV503" s="149"/>
      <c r="CW503" s="149"/>
      <c r="CX503" s="149"/>
      <c r="CY503" s="149"/>
      <c r="CZ503" s="149"/>
      <c r="DA503" s="149"/>
      <c r="DB503" s="149"/>
      <c r="DC503" s="149"/>
      <c r="DD503" s="149"/>
    </row>
    <row r="504" spans="1:108" x14ac:dyDescent="0.35">
      <c r="A504" s="149"/>
      <c r="E504" s="149"/>
      <c r="F504" s="149"/>
      <c r="G504" s="149"/>
      <c r="H504" s="149"/>
      <c r="I504" s="149"/>
      <c r="J504" s="149"/>
      <c r="K504" s="149"/>
      <c r="L504" s="149"/>
      <c r="M504" s="149"/>
      <c r="N504" s="149"/>
      <c r="O504" s="149"/>
      <c r="P504" s="149"/>
      <c r="Q504" s="149"/>
      <c r="R504" s="149"/>
      <c r="S504" s="149"/>
      <c r="T504" s="149"/>
      <c r="U504" s="149"/>
      <c r="V504" s="149"/>
      <c r="W504" s="149"/>
      <c r="X504" s="149"/>
      <c r="Y504" s="149"/>
      <c r="Z504" s="149"/>
      <c r="AA504" s="149"/>
      <c r="AB504" s="149"/>
      <c r="AC504" s="149"/>
      <c r="AD504" s="149"/>
      <c r="AE504" s="149"/>
      <c r="AF504" s="149"/>
      <c r="AG504" s="149"/>
      <c r="AH504" s="149"/>
      <c r="AI504" s="149"/>
      <c r="AJ504" s="149"/>
      <c r="AK504" s="149"/>
      <c r="AL504" s="149"/>
      <c r="AM504" s="149"/>
      <c r="AN504" s="149"/>
      <c r="AO504" s="149"/>
      <c r="AP504" s="149"/>
      <c r="AQ504" s="149"/>
      <c r="AR504" s="149"/>
      <c r="AS504" s="149"/>
      <c r="AT504" s="149"/>
      <c r="AU504" s="149"/>
      <c r="AV504" s="149"/>
      <c r="AW504" s="149"/>
      <c r="AX504" s="149"/>
      <c r="AY504" s="149"/>
      <c r="AZ504" s="149"/>
      <c r="BA504" s="149"/>
      <c r="BB504" s="149"/>
      <c r="BC504" s="149"/>
      <c r="BD504" s="149"/>
      <c r="BE504" s="149"/>
      <c r="BF504" s="149"/>
      <c r="BG504" s="149"/>
      <c r="BH504" s="149"/>
      <c r="BI504" s="149"/>
      <c r="BJ504" s="149"/>
      <c r="BK504" s="149"/>
      <c r="BL504" s="149"/>
      <c r="BM504" s="149"/>
      <c r="BN504" s="149"/>
      <c r="BO504" s="149"/>
      <c r="BP504" s="149"/>
      <c r="BQ504" s="149"/>
      <c r="BR504" s="149"/>
      <c r="BS504" s="149"/>
      <c r="BT504" s="149"/>
      <c r="BU504" s="149"/>
      <c r="BV504" s="149"/>
      <c r="BW504" s="149"/>
      <c r="BX504" s="149"/>
      <c r="BY504" s="149"/>
      <c r="BZ504" s="149"/>
      <c r="CA504" s="149"/>
      <c r="CB504" s="149"/>
      <c r="CC504" s="149"/>
      <c r="CD504" s="149"/>
      <c r="CE504" s="149"/>
      <c r="CF504" s="149"/>
      <c r="CG504" s="149"/>
      <c r="CH504" s="149"/>
      <c r="CI504" s="149"/>
      <c r="CJ504" s="149"/>
      <c r="CK504" s="149"/>
      <c r="CL504" s="149"/>
      <c r="CM504" s="149"/>
      <c r="CN504" s="149"/>
      <c r="CO504" s="149"/>
      <c r="CP504" s="149"/>
      <c r="CQ504" s="149"/>
      <c r="CR504" s="149"/>
      <c r="CS504" s="149"/>
      <c r="CT504" s="149"/>
      <c r="CU504" s="149"/>
      <c r="CV504" s="149"/>
      <c r="CW504" s="149"/>
      <c r="CX504" s="149"/>
      <c r="CY504" s="149"/>
      <c r="CZ504" s="149"/>
      <c r="DA504" s="149"/>
      <c r="DB504" s="149"/>
      <c r="DC504" s="149"/>
      <c r="DD504" s="149"/>
    </row>
    <row r="505" spans="1:108" x14ac:dyDescent="0.35">
      <c r="A505" s="149"/>
      <c r="E505" s="149"/>
      <c r="F505" s="149"/>
      <c r="G505" s="149"/>
      <c r="H505" s="149"/>
      <c r="I505" s="149"/>
      <c r="J505" s="149"/>
      <c r="K505" s="149"/>
      <c r="L505" s="149"/>
      <c r="M505" s="149"/>
      <c r="N505" s="149"/>
      <c r="O505" s="149"/>
      <c r="P505" s="149"/>
      <c r="Q505" s="149"/>
      <c r="R505" s="149"/>
      <c r="S505" s="149"/>
      <c r="T505" s="149"/>
      <c r="U505" s="149"/>
      <c r="V505" s="149"/>
      <c r="W505" s="149"/>
      <c r="X505" s="149"/>
      <c r="Y505" s="149"/>
      <c r="Z505" s="149"/>
      <c r="AA505" s="149"/>
      <c r="AB505" s="149"/>
      <c r="AC505" s="149"/>
      <c r="AD505" s="149"/>
      <c r="AE505" s="149"/>
      <c r="AF505" s="149"/>
      <c r="AG505" s="149"/>
      <c r="AH505" s="149"/>
      <c r="AI505" s="149"/>
      <c r="AJ505" s="149"/>
      <c r="AK505" s="149"/>
      <c r="AL505" s="149"/>
      <c r="AM505" s="149"/>
      <c r="AN505" s="149"/>
      <c r="AO505" s="149"/>
      <c r="AP505" s="149"/>
      <c r="AQ505" s="149"/>
      <c r="AR505" s="149"/>
      <c r="AS505" s="149"/>
      <c r="AT505" s="149"/>
      <c r="AU505" s="149"/>
      <c r="AV505" s="149"/>
      <c r="AW505" s="149"/>
      <c r="AX505" s="149"/>
      <c r="AY505" s="149"/>
      <c r="AZ505" s="149"/>
      <c r="BA505" s="149"/>
      <c r="BB505" s="149"/>
      <c r="BC505" s="149"/>
      <c r="BD505" s="149"/>
      <c r="BE505" s="149"/>
      <c r="BF505" s="149"/>
      <c r="BG505" s="149"/>
      <c r="BH505" s="149"/>
      <c r="BI505" s="149"/>
      <c r="BJ505" s="149"/>
      <c r="BK505" s="149"/>
      <c r="BL505" s="149"/>
      <c r="BM505" s="149"/>
      <c r="BN505" s="149"/>
      <c r="BO505" s="149"/>
      <c r="BP505" s="149"/>
      <c r="BQ505" s="149"/>
      <c r="BR505" s="149"/>
      <c r="BS505" s="149"/>
      <c r="BT505" s="149"/>
      <c r="BU505" s="149"/>
      <c r="BV505" s="149"/>
      <c r="BW505" s="149"/>
      <c r="BX505" s="149"/>
      <c r="BY505" s="149"/>
      <c r="BZ505" s="149"/>
      <c r="CA505" s="149"/>
      <c r="CB505" s="149"/>
      <c r="CC505" s="149"/>
      <c r="CD505" s="149"/>
      <c r="CE505" s="149"/>
      <c r="CF505" s="149"/>
      <c r="CG505" s="149"/>
      <c r="CH505" s="149"/>
      <c r="CI505" s="149"/>
      <c r="CJ505" s="149"/>
      <c r="CK505" s="149"/>
      <c r="CL505" s="149"/>
      <c r="CM505" s="149"/>
      <c r="CN505" s="149"/>
      <c r="CO505" s="149"/>
      <c r="CP505" s="149"/>
      <c r="CQ505" s="149"/>
      <c r="CR505" s="149"/>
      <c r="CS505" s="149"/>
      <c r="CT505" s="149"/>
      <c r="CU505" s="149"/>
      <c r="CV505" s="149"/>
      <c r="CW505" s="149"/>
      <c r="CX505" s="149"/>
      <c r="CY505" s="149"/>
      <c r="CZ505" s="149"/>
      <c r="DA505" s="149"/>
      <c r="DB505" s="149"/>
      <c r="DC505" s="149"/>
      <c r="DD505" s="149"/>
    </row>
    <row r="506" spans="1:108" x14ac:dyDescent="0.35">
      <c r="A506" s="149"/>
      <c r="E506" s="149"/>
      <c r="F506" s="149"/>
      <c r="G506" s="149"/>
      <c r="H506" s="149"/>
      <c r="I506" s="149"/>
      <c r="J506" s="149"/>
      <c r="K506" s="149"/>
      <c r="L506" s="149"/>
      <c r="M506" s="149"/>
      <c r="N506" s="149"/>
      <c r="O506" s="149"/>
      <c r="P506" s="149"/>
      <c r="Q506" s="149"/>
      <c r="R506" s="149"/>
      <c r="S506" s="149"/>
      <c r="T506" s="149"/>
      <c r="U506" s="149"/>
      <c r="V506" s="149"/>
      <c r="W506" s="149"/>
      <c r="X506" s="149"/>
      <c r="Y506" s="149"/>
      <c r="Z506" s="149"/>
      <c r="AA506" s="149"/>
      <c r="AB506" s="149"/>
      <c r="AC506" s="149"/>
      <c r="AD506" s="149"/>
      <c r="AE506" s="149"/>
      <c r="AF506" s="149"/>
      <c r="AG506" s="149"/>
      <c r="AH506" s="149"/>
      <c r="AI506" s="149"/>
      <c r="AJ506" s="149"/>
      <c r="AK506" s="149"/>
      <c r="AL506" s="149"/>
      <c r="AM506" s="149"/>
      <c r="AN506" s="149"/>
      <c r="AO506" s="149"/>
      <c r="AP506" s="149"/>
      <c r="AQ506" s="149"/>
      <c r="AR506" s="149"/>
      <c r="AS506" s="149"/>
      <c r="AT506" s="149"/>
      <c r="AU506" s="149"/>
      <c r="AV506" s="149"/>
      <c r="AW506" s="149"/>
      <c r="AX506" s="149"/>
      <c r="AY506" s="149"/>
      <c r="AZ506" s="149"/>
      <c r="BA506" s="149"/>
      <c r="BB506" s="149"/>
      <c r="BC506" s="149"/>
      <c r="BD506" s="149"/>
      <c r="BE506" s="149"/>
      <c r="BF506" s="149"/>
      <c r="BG506" s="149"/>
      <c r="BH506" s="149"/>
      <c r="BI506" s="149"/>
      <c r="BJ506" s="149"/>
      <c r="BK506" s="149"/>
      <c r="BL506" s="149"/>
      <c r="BM506" s="149"/>
      <c r="BN506" s="149"/>
      <c r="BO506" s="149"/>
      <c r="BP506" s="149"/>
      <c r="BQ506" s="149"/>
      <c r="BR506" s="149"/>
      <c r="BS506" s="149"/>
      <c r="BT506" s="149"/>
      <c r="BU506" s="149"/>
      <c r="BV506" s="149"/>
      <c r="BW506" s="149"/>
      <c r="BX506" s="149"/>
      <c r="BY506" s="149"/>
      <c r="BZ506" s="149"/>
      <c r="CA506" s="149"/>
      <c r="CB506" s="149"/>
      <c r="CC506" s="149"/>
      <c r="CD506" s="149"/>
      <c r="CE506" s="149"/>
      <c r="CF506" s="149"/>
      <c r="CG506" s="149"/>
      <c r="CH506" s="149"/>
      <c r="CI506" s="149"/>
      <c r="CJ506" s="149"/>
      <c r="CK506" s="149"/>
      <c r="CL506" s="149"/>
      <c r="CM506" s="149"/>
      <c r="CN506" s="149"/>
      <c r="CO506" s="149"/>
      <c r="CP506" s="149"/>
      <c r="CQ506" s="149"/>
      <c r="CR506" s="149"/>
      <c r="CS506" s="149"/>
      <c r="CT506" s="149"/>
      <c r="CU506" s="149"/>
      <c r="CV506" s="149"/>
      <c r="CW506" s="149"/>
      <c r="CX506" s="149"/>
      <c r="CY506" s="149"/>
      <c r="CZ506" s="149"/>
      <c r="DA506" s="149"/>
      <c r="DB506" s="149"/>
      <c r="DC506" s="149"/>
      <c r="DD506" s="149"/>
    </row>
    <row r="507" spans="1:108" x14ac:dyDescent="0.35">
      <c r="A507" s="149"/>
      <c r="E507" s="149"/>
      <c r="F507" s="149"/>
      <c r="G507" s="149"/>
      <c r="H507" s="149"/>
      <c r="I507" s="149"/>
      <c r="J507" s="149"/>
      <c r="K507" s="149"/>
      <c r="L507" s="149"/>
      <c r="M507" s="149"/>
      <c r="N507" s="149"/>
      <c r="O507" s="149"/>
      <c r="P507" s="149"/>
      <c r="Q507" s="149"/>
      <c r="R507" s="149"/>
      <c r="S507" s="149"/>
      <c r="T507" s="149"/>
      <c r="U507" s="149"/>
      <c r="V507" s="149"/>
      <c r="W507" s="149"/>
      <c r="X507" s="149"/>
      <c r="Y507" s="149"/>
      <c r="Z507" s="149"/>
      <c r="AA507" s="149"/>
      <c r="AB507" s="149"/>
      <c r="AC507" s="149"/>
      <c r="AD507" s="149"/>
      <c r="AE507" s="149"/>
      <c r="AF507" s="149"/>
      <c r="AG507" s="149"/>
      <c r="AH507" s="149"/>
      <c r="AI507" s="149"/>
      <c r="AJ507" s="149"/>
      <c r="AK507" s="149"/>
      <c r="AL507" s="149"/>
      <c r="AM507" s="149"/>
      <c r="AN507" s="149"/>
      <c r="AO507" s="149"/>
      <c r="AP507" s="149"/>
      <c r="AQ507" s="149"/>
      <c r="AR507" s="149"/>
      <c r="AS507" s="149"/>
      <c r="AT507" s="149"/>
      <c r="AU507" s="149"/>
      <c r="AV507" s="149"/>
      <c r="AW507" s="149"/>
      <c r="AX507" s="149"/>
      <c r="AY507" s="149"/>
      <c r="AZ507" s="149"/>
      <c r="BA507" s="149"/>
      <c r="BB507" s="149"/>
      <c r="BC507" s="149"/>
      <c r="BD507" s="149"/>
      <c r="BE507" s="149"/>
      <c r="BF507" s="149"/>
      <c r="BG507" s="149"/>
      <c r="BH507" s="149"/>
      <c r="BI507" s="149"/>
      <c r="BJ507" s="149"/>
      <c r="BK507" s="149"/>
      <c r="BL507" s="149"/>
      <c r="BM507" s="149"/>
      <c r="BN507" s="149"/>
      <c r="BO507" s="149"/>
      <c r="BP507" s="149"/>
      <c r="BQ507" s="149"/>
      <c r="BR507" s="149"/>
      <c r="BS507" s="149"/>
      <c r="BT507" s="149"/>
      <c r="BU507" s="149"/>
      <c r="BV507" s="149"/>
      <c r="BW507" s="149"/>
      <c r="BX507" s="149"/>
      <c r="BY507" s="149"/>
      <c r="BZ507" s="149"/>
      <c r="CA507" s="149"/>
      <c r="CB507" s="149"/>
      <c r="CC507" s="149"/>
      <c r="CD507" s="149"/>
      <c r="CE507" s="149"/>
      <c r="CF507" s="149"/>
      <c r="CG507" s="149"/>
      <c r="CH507" s="149"/>
      <c r="CI507" s="149"/>
      <c r="CJ507" s="149"/>
      <c r="CK507" s="149"/>
      <c r="CL507" s="149"/>
      <c r="CM507" s="149"/>
      <c r="CN507" s="149"/>
      <c r="CO507" s="149"/>
      <c r="CP507" s="149"/>
      <c r="CQ507" s="149"/>
      <c r="CR507" s="149"/>
      <c r="CS507" s="149"/>
      <c r="CT507" s="149"/>
      <c r="CU507" s="149"/>
      <c r="CV507" s="149"/>
      <c r="CW507" s="149"/>
      <c r="CX507" s="149"/>
      <c r="CY507" s="149"/>
      <c r="CZ507" s="149"/>
      <c r="DA507" s="149"/>
      <c r="DB507" s="149"/>
      <c r="DC507" s="149"/>
      <c r="DD507" s="149"/>
    </row>
    <row r="508" spans="1:108" x14ac:dyDescent="0.35">
      <c r="A508" s="149"/>
      <c r="E508" s="149"/>
      <c r="F508" s="149"/>
      <c r="G508" s="149"/>
      <c r="H508" s="149"/>
      <c r="I508" s="149"/>
      <c r="J508" s="149"/>
      <c r="K508" s="149"/>
      <c r="L508" s="149"/>
      <c r="M508" s="149"/>
      <c r="N508" s="149"/>
      <c r="O508" s="149"/>
      <c r="P508" s="149"/>
      <c r="Q508" s="149"/>
      <c r="R508" s="149"/>
      <c r="S508" s="149"/>
      <c r="T508" s="149"/>
      <c r="U508" s="149"/>
      <c r="V508" s="149"/>
      <c r="W508" s="149"/>
      <c r="X508" s="149"/>
      <c r="Y508" s="149"/>
      <c r="Z508" s="149"/>
      <c r="AA508" s="149"/>
      <c r="AB508" s="149"/>
      <c r="AC508" s="149"/>
      <c r="AD508" s="149"/>
      <c r="AE508" s="149"/>
      <c r="AF508" s="149"/>
      <c r="AG508" s="149"/>
      <c r="AH508" s="149"/>
      <c r="AI508" s="149"/>
      <c r="AJ508" s="149"/>
      <c r="AK508" s="149"/>
      <c r="AL508" s="149"/>
      <c r="AM508" s="149"/>
      <c r="AN508" s="149"/>
      <c r="AO508" s="149"/>
      <c r="AP508" s="149"/>
      <c r="AQ508" s="149"/>
      <c r="AR508" s="149"/>
      <c r="AS508" s="149"/>
      <c r="AT508" s="149"/>
      <c r="AU508" s="149"/>
      <c r="AV508" s="149"/>
      <c r="AW508" s="149"/>
      <c r="AX508" s="149"/>
      <c r="AY508" s="149"/>
      <c r="AZ508" s="149"/>
      <c r="BA508" s="149"/>
      <c r="BB508" s="149"/>
      <c r="BC508" s="149"/>
      <c r="BD508" s="149"/>
      <c r="BE508" s="149"/>
      <c r="BF508" s="149"/>
      <c r="BG508" s="149"/>
      <c r="BH508" s="149"/>
      <c r="BI508" s="149"/>
      <c r="BJ508" s="149"/>
      <c r="BK508" s="149"/>
      <c r="BL508" s="149"/>
      <c r="BM508" s="149"/>
      <c r="BN508" s="149"/>
      <c r="BO508" s="149"/>
      <c r="BP508" s="149"/>
      <c r="BQ508" s="149"/>
      <c r="BR508" s="149"/>
      <c r="BS508" s="149"/>
      <c r="BT508" s="149"/>
      <c r="BU508" s="149"/>
      <c r="BV508" s="149"/>
      <c r="BW508" s="149"/>
      <c r="BX508" s="149"/>
      <c r="BY508" s="149"/>
      <c r="BZ508" s="149"/>
      <c r="CA508" s="149"/>
      <c r="CB508" s="149"/>
      <c r="CC508" s="149"/>
      <c r="CD508" s="149"/>
      <c r="CE508" s="149"/>
      <c r="CF508" s="149"/>
      <c r="CG508" s="149"/>
      <c r="CH508" s="149"/>
      <c r="CI508" s="149"/>
      <c r="CJ508" s="149"/>
      <c r="CK508" s="149"/>
      <c r="CL508" s="149"/>
      <c r="CM508" s="149"/>
      <c r="CN508" s="149"/>
      <c r="CO508" s="149"/>
      <c r="CP508" s="149"/>
      <c r="CQ508" s="149"/>
      <c r="CR508" s="149"/>
      <c r="CS508" s="149"/>
      <c r="CT508" s="149"/>
      <c r="CU508" s="149"/>
      <c r="CV508" s="149"/>
      <c r="CW508" s="149"/>
      <c r="CX508" s="149"/>
      <c r="CY508" s="149"/>
      <c r="CZ508" s="149"/>
      <c r="DA508" s="149"/>
      <c r="DB508" s="149"/>
      <c r="DC508" s="149"/>
      <c r="DD508" s="149"/>
    </row>
    <row r="509" spans="1:108" x14ac:dyDescent="0.35">
      <c r="A509" s="149"/>
      <c r="E509" s="149"/>
      <c r="F509" s="149"/>
      <c r="G509" s="149"/>
      <c r="H509" s="149"/>
      <c r="I509" s="149"/>
      <c r="J509" s="149"/>
      <c r="K509" s="149"/>
      <c r="L509" s="149"/>
      <c r="M509" s="149"/>
      <c r="N509" s="149"/>
      <c r="O509" s="149"/>
      <c r="P509" s="149"/>
      <c r="Q509" s="149"/>
      <c r="R509" s="149"/>
      <c r="S509" s="149"/>
      <c r="T509" s="149"/>
      <c r="U509" s="149"/>
      <c r="V509" s="149"/>
      <c r="W509" s="149"/>
      <c r="X509" s="149"/>
      <c r="Y509" s="149"/>
      <c r="Z509" s="149"/>
      <c r="AA509" s="149"/>
      <c r="AB509" s="149"/>
      <c r="AC509" s="149"/>
      <c r="AD509" s="149"/>
      <c r="AE509" s="149"/>
      <c r="AF509" s="149"/>
      <c r="AG509" s="149"/>
      <c r="AH509" s="149"/>
      <c r="AI509" s="149"/>
      <c r="AJ509" s="149"/>
      <c r="AK509" s="149"/>
      <c r="AL509" s="149"/>
      <c r="AM509" s="149"/>
      <c r="AN509" s="149"/>
      <c r="AO509" s="149"/>
      <c r="AP509" s="149"/>
      <c r="AQ509" s="149"/>
      <c r="AR509" s="149"/>
      <c r="AS509" s="149"/>
      <c r="AT509" s="149"/>
      <c r="AU509" s="149"/>
      <c r="AV509" s="149"/>
      <c r="AW509" s="149"/>
      <c r="AX509" s="149"/>
      <c r="AY509" s="149"/>
      <c r="AZ509" s="149"/>
      <c r="BA509" s="149"/>
      <c r="BB509" s="149"/>
      <c r="BC509" s="149"/>
      <c r="BD509" s="149"/>
      <c r="BE509" s="149"/>
      <c r="BF509" s="149"/>
      <c r="BG509" s="149"/>
      <c r="BH509" s="149"/>
      <c r="BI509" s="149"/>
      <c r="BJ509" s="149"/>
      <c r="BK509" s="149"/>
      <c r="BL509" s="149"/>
      <c r="BM509" s="149"/>
      <c r="BN509" s="149"/>
      <c r="BO509" s="149"/>
      <c r="BP509" s="149"/>
      <c r="BQ509" s="149"/>
      <c r="BR509" s="149"/>
      <c r="BS509" s="149"/>
      <c r="BT509" s="149"/>
      <c r="BU509" s="149"/>
      <c r="BV509" s="149"/>
      <c r="BW509" s="149"/>
      <c r="BX509" s="149"/>
      <c r="BY509" s="149"/>
      <c r="BZ509" s="149"/>
      <c r="CA509" s="149"/>
      <c r="CB509" s="149"/>
      <c r="CC509" s="149"/>
      <c r="CD509" s="149"/>
      <c r="CE509" s="149"/>
      <c r="CF509" s="149"/>
      <c r="CG509" s="149"/>
      <c r="CH509" s="149"/>
      <c r="CI509" s="149"/>
      <c r="CJ509" s="149"/>
      <c r="CK509" s="149"/>
      <c r="CL509" s="149"/>
      <c r="CM509" s="149"/>
      <c r="CN509" s="149"/>
      <c r="CO509" s="149"/>
      <c r="CP509" s="149"/>
      <c r="CQ509" s="149"/>
      <c r="CR509" s="149"/>
      <c r="CS509" s="149"/>
      <c r="CT509" s="149"/>
      <c r="CU509" s="149"/>
      <c r="CV509" s="149"/>
      <c r="CW509" s="149"/>
      <c r="CX509" s="149"/>
      <c r="CY509" s="149"/>
      <c r="CZ509" s="149"/>
      <c r="DA509" s="149"/>
      <c r="DB509" s="149"/>
      <c r="DC509" s="149"/>
      <c r="DD509" s="149"/>
    </row>
    <row r="510" spans="1:108" x14ac:dyDescent="0.35">
      <c r="A510" s="149"/>
      <c r="E510" s="149"/>
      <c r="F510" s="149"/>
      <c r="G510" s="149"/>
      <c r="H510" s="149"/>
      <c r="I510" s="149"/>
      <c r="J510" s="149"/>
      <c r="K510" s="149"/>
      <c r="L510" s="149"/>
      <c r="M510" s="149"/>
      <c r="N510" s="149"/>
      <c r="O510" s="149"/>
      <c r="P510" s="149"/>
      <c r="Q510" s="149"/>
      <c r="R510" s="149"/>
      <c r="S510" s="149"/>
      <c r="T510" s="149"/>
      <c r="U510" s="149"/>
      <c r="V510" s="149"/>
      <c r="W510" s="149"/>
      <c r="X510" s="149"/>
      <c r="Y510" s="149"/>
      <c r="Z510" s="149"/>
      <c r="AA510" s="149"/>
      <c r="AB510" s="149"/>
      <c r="AC510" s="149"/>
      <c r="AD510" s="149"/>
      <c r="AE510" s="149"/>
      <c r="AF510" s="149"/>
      <c r="AG510" s="149"/>
      <c r="AH510" s="149"/>
      <c r="AI510" s="149"/>
      <c r="AJ510" s="149"/>
      <c r="AK510" s="149"/>
      <c r="AL510" s="149"/>
      <c r="AM510" s="149"/>
      <c r="AN510" s="149"/>
      <c r="AO510" s="149"/>
      <c r="AP510" s="149"/>
      <c r="AQ510" s="149"/>
      <c r="AR510" s="149"/>
      <c r="AS510" s="149"/>
      <c r="AT510" s="149"/>
      <c r="AU510" s="149"/>
      <c r="AV510" s="149"/>
      <c r="AW510" s="149"/>
      <c r="AX510" s="149"/>
      <c r="AY510" s="149"/>
      <c r="AZ510" s="149"/>
      <c r="BA510" s="149"/>
      <c r="BB510" s="149"/>
      <c r="BC510" s="149"/>
      <c r="BD510" s="149"/>
      <c r="BE510" s="149"/>
      <c r="BF510" s="149"/>
      <c r="BG510" s="149"/>
      <c r="BH510" s="149"/>
      <c r="BI510" s="149"/>
      <c r="BJ510" s="149"/>
      <c r="BK510" s="149"/>
      <c r="BL510" s="149"/>
      <c r="BM510" s="149"/>
      <c r="BN510" s="149"/>
      <c r="BO510" s="149"/>
      <c r="BP510" s="149"/>
      <c r="BQ510" s="149"/>
      <c r="BR510" s="149"/>
      <c r="BS510" s="149"/>
      <c r="BT510" s="149"/>
      <c r="BU510" s="149"/>
      <c r="BV510" s="149"/>
      <c r="BW510" s="149"/>
      <c r="BX510" s="149"/>
      <c r="BY510" s="149"/>
      <c r="BZ510" s="149"/>
      <c r="CA510" s="149"/>
      <c r="CB510" s="149"/>
      <c r="CC510" s="149"/>
      <c r="CD510" s="149"/>
      <c r="CE510" s="149"/>
      <c r="CF510" s="149"/>
      <c r="CG510" s="149"/>
      <c r="CH510" s="149"/>
      <c r="CI510" s="149"/>
      <c r="CJ510" s="149"/>
      <c r="CK510" s="149"/>
      <c r="CL510" s="149"/>
      <c r="CM510" s="149"/>
      <c r="CN510" s="149"/>
      <c r="CO510" s="149"/>
      <c r="CP510" s="149"/>
      <c r="CQ510" s="149"/>
      <c r="CR510" s="149"/>
      <c r="CS510" s="149"/>
      <c r="CT510" s="149"/>
      <c r="CU510" s="149"/>
      <c r="CV510" s="149"/>
      <c r="CW510" s="149"/>
      <c r="CX510" s="149"/>
      <c r="CY510" s="149"/>
      <c r="CZ510" s="149"/>
      <c r="DA510" s="149"/>
      <c r="DB510" s="149"/>
      <c r="DC510" s="149"/>
      <c r="DD510" s="149"/>
    </row>
    <row r="511" spans="1:108" x14ac:dyDescent="0.35">
      <c r="A511" s="149"/>
      <c r="E511" s="149"/>
      <c r="F511" s="149"/>
      <c r="G511" s="149"/>
      <c r="H511" s="149"/>
      <c r="I511" s="149"/>
      <c r="J511" s="149"/>
      <c r="K511" s="149"/>
      <c r="L511" s="149"/>
      <c r="M511" s="149"/>
      <c r="N511" s="149"/>
      <c r="O511" s="149"/>
      <c r="P511" s="149"/>
      <c r="Q511" s="149"/>
      <c r="R511" s="149"/>
      <c r="S511" s="149"/>
      <c r="T511" s="149"/>
      <c r="U511" s="149"/>
      <c r="V511" s="149"/>
      <c r="W511" s="149"/>
      <c r="X511" s="149"/>
      <c r="Y511" s="149"/>
      <c r="Z511" s="149"/>
      <c r="AA511" s="149"/>
      <c r="AB511" s="149"/>
      <c r="AC511" s="149"/>
      <c r="AD511" s="149"/>
      <c r="AE511" s="149"/>
      <c r="AF511" s="149"/>
      <c r="AG511" s="149"/>
      <c r="AH511" s="149"/>
      <c r="AI511" s="149"/>
      <c r="AJ511" s="149"/>
      <c r="AK511" s="149"/>
      <c r="AL511" s="149"/>
      <c r="AM511" s="149"/>
      <c r="AN511" s="149"/>
      <c r="AO511" s="149"/>
      <c r="AP511" s="149"/>
      <c r="AQ511" s="149"/>
      <c r="AR511" s="149"/>
      <c r="AS511" s="149"/>
      <c r="AT511" s="149"/>
      <c r="AU511" s="149"/>
      <c r="AV511" s="149"/>
      <c r="AW511" s="149"/>
      <c r="AX511" s="149"/>
      <c r="AY511" s="149"/>
      <c r="AZ511" s="149"/>
      <c r="BA511" s="149"/>
      <c r="BB511" s="149"/>
      <c r="BC511" s="149"/>
      <c r="BD511" s="149"/>
      <c r="BE511" s="149"/>
      <c r="BF511" s="149"/>
      <c r="BG511" s="149"/>
      <c r="BH511" s="149"/>
      <c r="BI511" s="149"/>
      <c r="BJ511" s="149"/>
      <c r="BK511" s="149"/>
      <c r="BL511" s="149"/>
      <c r="BM511" s="149"/>
      <c r="BN511" s="149"/>
      <c r="BO511" s="149"/>
      <c r="BP511" s="149"/>
      <c r="BQ511" s="149"/>
      <c r="BR511" s="149"/>
      <c r="BS511" s="149"/>
      <c r="BT511" s="149"/>
      <c r="BU511" s="149"/>
      <c r="BV511" s="149"/>
      <c r="BW511" s="149"/>
      <c r="BX511" s="149"/>
      <c r="BY511" s="149"/>
      <c r="BZ511" s="149"/>
      <c r="CA511" s="149"/>
      <c r="CB511" s="149"/>
      <c r="CC511" s="149"/>
      <c r="CD511" s="149"/>
      <c r="CE511" s="149"/>
      <c r="CF511" s="149"/>
      <c r="CG511" s="149"/>
      <c r="CH511" s="149"/>
      <c r="CI511" s="149"/>
      <c r="CJ511" s="149"/>
      <c r="CK511" s="149"/>
      <c r="CL511" s="149"/>
      <c r="CM511" s="149"/>
      <c r="CN511" s="149"/>
      <c r="CO511" s="149"/>
      <c r="CP511" s="149"/>
      <c r="CQ511" s="149"/>
      <c r="CR511" s="149"/>
      <c r="CS511" s="149"/>
      <c r="CT511" s="149"/>
      <c r="CU511" s="149"/>
      <c r="CV511" s="149"/>
      <c r="CW511" s="149"/>
      <c r="CX511" s="149"/>
      <c r="CY511" s="149"/>
      <c r="CZ511" s="149"/>
      <c r="DA511" s="149"/>
      <c r="DB511" s="149"/>
      <c r="DC511" s="149"/>
      <c r="DD511" s="149"/>
    </row>
    <row r="512" spans="1:108" x14ac:dyDescent="0.35">
      <c r="A512" s="149"/>
      <c r="E512" s="149"/>
      <c r="F512" s="149"/>
      <c r="G512" s="149"/>
      <c r="H512" s="149"/>
      <c r="I512" s="149"/>
      <c r="J512" s="149"/>
      <c r="K512" s="149"/>
      <c r="L512" s="149"/>
      <c r="M512" s="149"/>
      <c r="N512" s="149"/>
      <c r="O512" s="149"/>
      <c r="P512" s="149"/>
      <c r="Q512" s="149"/>
      <c r="R512" s="149"/>
      <c r="S512" s="149"/>
      <c r="T512" s="149"/>
      <c r="U512" s="149"/>
      <c r="V512" s="149"/>
      <c r="W512" s="149"/>
      <c r="X512" s="149"/>
      <c r="Y512" s="149"/>
      <c r="Z512" s="149"/>
      <c r="AA512" s="149"/>
      <c r="AB512" s="149"/>
      <c r="AC512" s="149"/>
      <c r="AD512" s="149"/>
      <c r="AE512" s="149"/>
      <c r="AF512" s="149"/>
      <c r="AG512" s="149"/>
      <c r="AH512" s="149"/>
      <c r="AI512" s="149"/>
      <c r="AJ512" s="149"/>
      <c r="AK512" s="149"/>
      <c r="AL512" s="149"/>
      <c r="AM512" s="149"/>
      <c r="AN512" s="149"/>
      <c r="AO512" s="149"/>
      <c r="AP512" s="149"/>
      <c r="AQ512" s="149"/>
      <c r="AR512" s="149"/>
      <c r="AS512" s="149"/>
      <c r="AT512" s="149"/>
      <c r="AU512" s="149"/>
      <c r="AV512" s="149"/>
      <c r="AW512" s="149"/>
      <c r="AX512" s="149"/>
      <c r="AY512" s="149"/>
      <c r="AZ512" s="149"/>
      <c r="BA512" s="149"/>
      <c r="BB512" s="149"/>
      <c r="BC512" s="149"/>
      <c r="BD512" s="149"/>
      <c r="BE512" s="149"/>
      <c r="BF512" s="149"/>
      <c r="BG512" s="149"/>
      <c r="BH512" s="149"/>
      <c r="BI512" s="149"/>
      <c r="BJ512" s="149"/>
      <c r="BK512" s="149"/>
      <c r="BL512" s="149"/>
      <c r="BM512" s="149"/>
      <c r="BN512" s="149"/>
      <c r="BO512" s="149"/>
      <c r="BP512" s="149"/>
      <c r="BQ512" s="149"/>
      <c r="BR512" s="149"/>
      <c r="BS512" s="149"/>
      <c r="BT512" s="149"/>
      <c r="BU512" s="149"/>
      <c r="BV512" s="149"/>
      <c r="BW512" s="149"/>
      <c r="BX512" s="149"/>
      <c r="BY512" s="149"/>
      <c r="BZ512" s="149"/>
      <c r="CA512" s="149"/>
      <c r="CB512" s="149"/>
      <c r="CC512" s="149"/>
      <c r="CD512" s="149"/>
      <c r="CE512" s="149"/>
      <c r="CF512" s="149"/>
      <c r="CG512" s="149"/>
      <c r="CH512" s="149"/>
      <c r="CI512" s="149"/>
      <c r="CJ512" s="149"/>
      <c r="CK512" s="149"/>
      <c r="CL512" s="149"/>
      <c r="CM512" s="149"/>
      <c r="CN512" s="149"/>
      <c r="CO512" s="149"/>
      <c r="CP512" s="149"/>
      <c r="CQ512" s="149"/>
      <c r="CR512" s="149"/>
      <c r="CS512" s="149"/>
      <c r="CT512" s="149"/>
      <c r="CU512" s="149"/>
      <c r="CV512" s="149"/>
      <c r="CW512" s="149"/>
      <c r="CX512" s="149"/>
      <c r="CY512" s="149"/>
      <c r="CZ512" s="149"/>
      <c r="DA512" s="149"/>
      <c r="DB512" s="149"/>
      <c r="DC512" s="149"/>
      <c r="DD512" s="149"/>
    </row>
    <row r="513" spans="1:108" x14ac:dyDescent="0.35">
      <c r="A513" s="149"/>
      <c r="E513" s="149"/>
      <c r="F513" s="149"/>
      <c r="G513" s="149"/>
      <c r="H513" s="149"/>
      <c r="I513" s="149"/>
      <c r="J513" s="149"/>
      <c r="K513" s="149"/>
      <c r="L513" s="149"/>
      <c r="M513" s="149"/>
      <c r="N513" s="149"/>
      <c r="O513" s="149"/>
      <c r="P513" s="149"/>
      <c r="Q513" s="149"/>
      <c r="R513" s="149"/>
      <c r="S513" s="149"/>
      <c r="T513" s="149"/>
      <c r="U513" s="149"/>
      <c r="V513" s="149"/>
      <c r="W513" s="149"/>
      <c r="X513" s="149"/>
      <c r="Y513" s="149"/>
      <c r="Z513" s="149"/>
      <c r="AA513" s="149"/>
      <c r="AB513" s="149"/>
      <c r="AC513" s="149"/>
      <c r="AD513" s="149"/>
      <c r="AE513" s="149"/>
      <c r="AF513" s="149"/>
      <c r="AG513" s="149"/>
      <c r="AH513" s="149"/>
      <c r="AI513" s="149"/>
      <c r="AJ513" s="149"/>
      <c r="AK513" s="149"/>
      <c r="AL513" s="149"/>
      <c r="AM513" s="149"/>
      <c r="AN513" s="149"/>
      <c r="AO513" s="149"/>
      <c r="AP513" s="149"/>
      <c r="AQ513" s="149"/>
      <c r="AR513" s="149"/>
      <c r="AS513" s="149"/>
      <c r="AT513" s="149"/>
      <c r="AU513" s="149"/>
      <c r="AV513" s="149"/>
      <c r="AW513" s="149"/>
      <c r="AX513" s="149"/>
      <c r="AY513" s="149"/>
      <c r="AZ513" s="149"/>
      <c r="BA513" s="149"/>
      <c r="BB513" s="149"/>
      <c r="BC513" s="149"/>
      <c r="BD513" s="149"/>
      <c r="BE513" s="149"/>
      <c r="BF513" s="149"/>
      <c r="BG513" s="149"/>
      <c r="BH513" s="149"/>
      <c r="BI513" s="149"/>
      <c r="BJ513" s="149"/>
      <c r="BK513" s="149"/>
      <c r="BL513" s="149"/>
      <c r="BM513" s="149"/>
      <c r="BN513" s="149"/>
      <c r="BO513" s="149"/>
      <c r="BP513" s="149"/>
      <c r="BQ513" s="149"/>
      <c r="BR513" s="149"/>
      <c r="BS513" s="149"/>
      <c r="BT513" s="149"/>
      <c r="BU513" s="149"/>
      <c r="BV513" s="149"/>
      <c r="BW513" s="149"/>
      <c r="BX513" s="149"/>
      <c r="BY513" s="149"/>
      <c r="BZ513" s="149"/>
      <c r="CA513" s="149"/>
      <c r="CB513" s="149"/>
      <c r="CC513" s="149"/>
      <c r="CD513" s="149"/>
      <c r="CE513" s="149"/>
      <c r="CF513" s="149"/>
      <c r="CG513" s="149"/>
      <c r="CH513" s="149"/>
      <c r="CI513" s="149"/>
      <c r="CJ513" s="149"/>
      <c r="CK513" s="149"/>
      <c r="CL513" s="149"/>
      <c r="CM513" s="149"/>
      <c r="CN513" s="149"/>
      <c r="CO513" s="149"/>
      <c r="CP513" s="149"/>
      <c r="CQ513" s="149"/>
      <c r="CR513" s="149"/>
      <c r="CS513" s="149"/>
      <c r="CT513" s="149"/>
      <c r="CU513" s="149"/>
      <c r="CV513" s="149"/>
      <c r="CW513" s="149"/>
      <c r="CX513" s="149"/>
      <c r="CY513" s="149"/>
      <c r="CZ513" s="149"/>
      <c r="DA513" s="149"/>
      <c r="DB513" s="149"/>
      <c r="DC513" s="149"/>
      <c r="DD513" s="149"/>
    </row>
    <row r="514" spans="1:108" x14ac:dyDescent="0.35">
      <c r="A514" s="149"/>
      <c r="E514" s="149"/>
      <c r="F514" s="149"/>
      <c r="G514" s="149"/>
      <c r="H514" s="149"/>
      <c r="I514" s="149"/>
      <c r="J514" s="149"/>
      <c r="K514" s="149"/>
      <c r="L514" s="149"/>
      <c r="M514" s="149"/>
      <c r="N514" s="149"/>
      <c r="O514" s="149"/>
      <c r="P514" s="149"/>
      <c r="Q514" s="149"/>
      <c r="R514" s="149"/>
      <c r="S514" s="149"/>
      <c r="T514" s="149"/>
      <c r="U514" s="149"/>
      <c r="V514" s="149"/>
      <c r="W514" s="149"/>
      <c r="X514" s="149"/>
      <c r="Y514" s="149"/>
      <c r="Z514" s="149"/>
      <c r="AA514" s="149"/>
      <c r="AB514" s="149"/>
      <c r="AC514" s="149"/>
      <c r="AD514" s="149"/>
      <c r="AE514" s="149"/>
      <c r="AF514" s="149"/>
      <c r="AG514" s="149"/>
      <c r="AH514" s="149"/>
      <c r="AI514" s="149"/>
      <c r="AJ514" s="149"/>
      <c r="AK514" s="149"/>
      <c r="AL514" s="149"/>
      <c r="AM514" s="149"/>
      <c r="AN514" s="149"/>
      <c r="AO514" s="149"/>
      <c r="AP514" s="149"/>
      <c r="AQ514" s="149"/>
      <c r="AR514" s="149"/>
      <c r="AS514" s="149"/>
      <c r="AT514" s="149"/>
      <c r="AU514" s="149"/>
      <c r="AV514" s="149"/>
      <c r="AW514" s="149"/>
      <c r="AX514" s="149"/>
      <c r="AY514" s="149"/>
      <c r="AZ514" s="149"/>
      <c r="BA514" s="149"/>
      <c r="BB514" s="149"/>
      <c r="BC514" s="149"/>
      <c r="BD514" s="149"/>
      <c r="BE514" s="149"/>
      <c r="BF514" s="149"/>
      <c r="BG514" s="149"/>
      <c r="BH514" s="149"/>
      <c r="BI514" s="149"/>
      <c r="BJ514" s="149"/>
      <c r="BK514" s="149"/>
      <c r="BL514" s="149"/>
      <c r="BM514" s="149"/>
      <c r="BN514" s="149"/>
      <c r="BO514" s="149"/>
      <c r="BP514" s="149"/>
      <c r="BQ514" s="149"/>
      <c r="BR514" s="149"/>
      <c r="BS514" s="149"/>
      <c r="BT514" s="149"/>
      <c r="BU514" s="149"/>
      <c r="BV514" s="149"/>
      <c r="BW514" s="149"/>
      <c r="BX514" s="149"/>
      <c r="BY514" s="149"/>
      <c r="BZ514" s="149"/>
      <c r="CA514" s="149"/>
      <c r="CB514" s="149"/>
      <c r="CC514" s="149"/>
      <c r="CD514" s="149"/>
      <c r="CE514" s="149"/>
      <c r="CF514" s="149"/>
      <c r="CG514" s="149"/>
      <c r="CH514" s="149"/>
      <c r="CI514" s="149"/>
      <c r="CJ514" s="149"/>
      <c r="CK514" s="149"/>
      <c r="CL514" s="149"/>
      <c r="CM514" s="149"/>
      <c r="CN514" s="149"/>
      <c r="CO514" s="149"/>
      <c r="CP514" s="149"/>
      <c r="CQ514" s="149"/>
      <c r="CR514" s="149"/>
      <c r="CS514" s="149"/>
      <c r="CT514" s="149"/>
      <c r="CU514" s="149"/>
      <c r="CV514" s="149"/>
      <c r="CW514" s="149"/>
      <c r="CX514" s="149"/>
      <c r="CY514" s="149"/>
      <c r="CZ514" s="149"/>
      <c r="DA514" s="149"/>
      <c r="DB514" s="149"/>
      <c r="DC514" s="149"/>
      <c r="DD514" s="149"/>
    </row>
    <row r="515" spans="1:108" x14ac:dyDescent="0.35">
      <c r="A515" s="149"/>
      <c r="E515" s="149"/>
      <c r="F515" s="149"/>
      <c r="G515" s="149"/>
      <c r="H515" s="149"/>
      <c r="I515" s="149"/>
      <c r="J515" s="149"/>
      <c r="K515" s="149"/>
      <c r="L515" s="149"/>
      <c r="M515" s="149"/>
      <c r="N515" s="149"/>
      <c r="O515" s="149"/>
      <c r="P515" s="149"/>
      <c r="Q515" s="149"/>
      <c r="R515" s="149"/>
      <c r="S515" s="149"/>
      <c r="T515" s="149"/>
      <c r="U515" s="149"/>
      <c r="V515" s="149"/>
      <c r="W515" s="149"/>
      <c r="X515" s="149"/>
      <c r="Y515" s="149"/>
      <c r="Z515" s="149"/>
      <c r="AA515" s="149"/>
      <c r="AB515" s="149"/>
      <c r="AC515" s="149"/>
      <c r="AD515" s="149"/>
      <c r="AE515" s="149"/>
      <c r="AF515" s="149"/>
      <c r="AG515" s="149"/>
      <c r="AH515" s="149"/>
      <c r="AI515" s="149"/>
      <c r="AJ515" s="149"/>
      <c r="AK515" s="149"/>
      <c r="AL515" s="149"/>
      <c r="AM515" s="149"/>
      <c r="AN515" s="149"/>
      <c r="AO515" s="149"/>
      <c r="AP515" s="149"/>
      <c r="AQ515" s="149"/>
      <c r="AR515" s="149"/>
      <c r="AS515" s="149"/>
      <c r="AT515" s="149"/>
      <c r="AU515" s="149"/>
      <c r="AV515" s="149"/>
      <c r="AW515" s="149"/>
      <c r="AX515" s="149"/>
      <c r="AY515" s="149"/>
      <c r="AZ515" s="149"/>
      <c r="BA515" s="149"/>
      <c r="BB515" s="149"/>
      <c r="BC515" s="149"/>
      <c r="BD515" s="149"/>
      <c r="BE515" s="149"/>
      <c r="BF515" s="149"/>
      <c r="BG515" s="149"/>
      <c r="BH515" s="149"/>
      <c r="BI515" s="149"/>
      <c r="BJ515" s="149"/>
      <c r="BK515" s="149"/>
      <c r="BL515" s="149"/>
      <c r="BM515" s="149"/>
      <c r="BN515" s="149"/>
      <c r="BO515" s="149"/>
      <c r="BP515" s="149"/>
      <c r="BQ515" s="149"/>
      <c r="BR515" s="149"/>
      <c r="BS515" s="149"/>
      <c r="BT515" s="149"/>
      <c r="BU515" s="149"/>
      <c r="BV515" s="149"/>
      <c r="BW515" s="149"/>
      <c r="BX515" s="149"/>
      <c r="BY515" s="149"/>
      <c r="BZ515" s="149"/>
      <c r="CA515" s="149"/>
      <c r="CB515" s="149"/>
      <c r="CC515" s="149"/>
      <c r="CD515" s="149"/>
      <c r="CE515" s="149"/>
      <c r="CF515" s="149"/>
      <c r="CG515" s="149"/>
      <c r="CH515" s="149"/>
      <c r="CI515" s="149"/>
      <c r="CJ515" s="149"/>
      <c r="CK515" s="149"/>
      <c r="CL515" s="149"/>
      <c r="CM515" s="149"/>
      <c r="CN515" s="149"/>
      <c r="CO515" s="149"/>
      <c r="CP515" s="149"/>
      <c r="CQ515" s="149"/>
      <c r="CR515" s="149"/>
      <c r="CS515" s="149"/>
      <c r="CT515" s="149"/>
      <c r="CU515" s="149"/>
      <c r="CV515" s="149"/>
      <c r="CW515" s="149"/>
      <c r="CX515" s="149"/>
      <c r="CY515" s="149"/>
      <c r="CZ515" s="149"/>
      <c r="DA515" s="149"/>
      <c r="DB515" s="149"/>
      <c r="DC515" s="149"/>
      <c r="DD515" s="149"/>
    </row>
    <row r="516" spans="1:108" x14ac:dyDescent="0.35">
      <c r="A516" s="149"/>
      <c r="E516" s="149"/>
      <c r="F516" s="149"/>
      <c r="G516" s="149"/>
      <c r="H516" s="149"/>
      <c r="I516" s="149"/>
      <c r="J516" s="149"/>
      <c r="K516" s="149"/>
      <c r="L516" s="149"/>
      <c r="M516" s="149"/>
      <c r="N516" s="149"/>
      <c r="O516" s="149"/>
      <c r="P516" s="149"/>
      <c r="Q516" s="149"/>
      <c r="R516" s="149"/>
      <c r="S516" s="149"/>
      <c r="T516" s="149"/>
      <c r="U516" s="149"/>
      <c r="V516" s="149"/>
      <c r="W516" s="149"/>
      <c r="X516" s="149"/>
      <c r="Y516" s="149"/>
      <c r="Z516" s="149"/>
      <c r="AA516" s="149"/>
      <c r="AB516" s="149"/>
      <c r="AC516" s="149"/>
      <c r="AD516" s="149"/>
      <c r="AE516" s="149"/>
      <c r="AF516" s="149"/>
      <c r="AG516" s="149"/>
      <c r="AH516" s="149"/>
      <c r="AI516" s="149"/>
      <c r="AJ516" s="149"/>
      <c r="AK516" s="149"/>
      <c r="AL516" s="149"/>
      <c r="AM516" s="149"/>
      <c r="AN516" s="149"/>
      <c r="AO516" s="149"/>
      <c r="AP516" s="149"/>
      <c r="AQ516" s="149"/>
      <c r="AR516" s="149"/>
      <c r="AS516" s="149"/>
      <c r="AT516" s="149"/>
      <c r="AU516" s="149"/>
      <c r="AV516" s="149"/>
      <c r="AW516" s="149"/>
      <c r="AX516" s="149"/>
      <c r="AY516" s="149"/>
      <c r="AZ516" s="149"/>
      <c r="BA516" s="149"/>
      <c r="BB516" s="149"/>
      <c r="BC516" s="149"/>
      <c r="BD516" s="149"/>
      <c r="BE516" s="149"/>
      <c r="BF516" s="149"/>
      <c r="BG516" s="149"/>
      <c r="BH516" s="149"/>
      <c r="BI516" s="149"/>
      <c r="BJ516" s="149"/>
      <c r="BK516" s="149"/>
      <c r="BL516" s="149"/>
      <c r="BM516" s="149"/>
      <c r="BN516" s="149"/>
      <c r="BO516" s="149"/>
      <c r="BP516" s="149"/>
      <c r="BQ516" s="149"/>
      <c r="BR516" s="149"/>
      <c r="BS516" s="149"/>
      <c r="BT516" s="149"/>
      <c r="BU516" s="149"/>
      <c r="BV516" s="149"/>
      <c r="BW516" s="149"/>
      <c r="BX516" s="149"/>
      <c r="BY516" s="149"/>
      <c r="BZ516" s="149"/>
      <c r="CA516" s="149"/>
      <c r="CB516" s="149"/>
      <c r="CC516" s="149"/>
      <c r="CD516" s="149"/>
      <c r="CE516" s="149"/>
      <c r="CF516" s="149"/>
      <c r="CG516" s="149"/>
      <c r="CH516" s="149"/>
      <c r="CI516" s="149"/>
      <c r="CJ516" s="149"/>
      <c r="CK516" s="149"/>
      <c r="CL516" s="149"/>
      <c r="CM516" s="149"/>
      <c r="CN516" s="149"/>
      <c r="CO516" s="149"/>
      <c r="CP516" s="149"/>
      <c r="CQ516" s="149"/>
      <c r="CR516" s="149"/>
      <c r="CS516" s="149"/>
      <c r="CT516" s="149"/>
      <c r="CU516" s="149"/>
      <c r="CV516" s="149"/>
      <c r="CW516" s="149"/>
      <c r="CX516" s="149"/>
      <c r="CY516" s="149"/>
      <c r="CZ516" s="149"/>
      <c r="DA516" s="149"/>
      <c r="DB516" s="149"/>
      <c r="DC516" s="149"/>
      <c r="DD516" s="149"/>
    </row>
    <row r="517" spans="1:108" x14ac:dyDescent="0.35">
      <c r="A517" s="149"/>
      <c r="E517" s="149"/>
      <c r="F517" s="149"/>
      <c r="G517" s="149"/>
      <c r="H517" s="149"/>
      <c r="I517" s="149"/>
      <c r="J517" s="149"/>
      <c r="K517" s="149"/>
      <c r="L517" s="149"/>
      <c r="M517" s="149"/>
      <c r="N517" s="149"/>
      <c r="O517" s="149"/>
      <c r="P517" s="149"/>
      <c r="Q517" s="149"/>
      <c r="R517" s="149"/>
      <c r="S517" s="149"/>
      <c r="T517" s="149"/>
      <c r="U517" s="149"/>
      <c r="V517" s="149"/>
      <c r="W517" s="149"/>
      <c r="X517" s="149"/>
      <c r="Y517" s="149"/>
      <c r="Z517" s="149"/>
      <c r="AA517" s="149"/>
      <c r="AB517" s="149"/>
      <c r="AC517" s="149"/>
      <c r="AD517" s="149"/>
      <c r="AE517" s="149"/>
      <c r="AF517" s="149"/>
      <c r="AG517" s="149"/>
      <c r="AH517" s="149"/>
      <c r="AI517" s="149"/>
      <c r="AJ517" s="149"/>
      <c r="AK517" s="149"/>
      <c r="AL517" s="149"/>
      <c r="AM517" s="149"/>
      <c r="AN517" s="149"/>
      <c r="AO517" s="149"/>
      <c r="AP517" s="149"/>
      <c r="AQ517" s="149"/>
      <c r="AR517" s="149"/>
      <c r="AS517" s="149"/>
      <c r="AT517" s="149"/>
      <c r="AU517" s="149"/>
      <c r="AV517" s="149"/>
      <c r="AW517" s="149"/>
      <c r="AX517" s="149"/>
      <c r="AY517" s="149"/>
      <c r="AZ517" s="149"/>
      <c r="BA517" s="149"/>
      <c r="BB517" s="149"/>
      <c r="BC517" s="149"/>
      <c r="BD517" s="149"/>
      <c r="BE517" s="149"/>
      <c r="BF517" s="149"/>
      <c r="BG517" s="149"/>
      <c r="BH517" s="149"/>
      <c r="BI517" s="149"/>
      <c r="BJ517" s="149"/>
      <c r="BK517" s="149"/>
      <c r="BL517" s="149"/>
      <c r="BM517" s="149"/>
      <c r="BN517" s="149"/>
      <c r="BO517" s="149"/>
      <c r="BP517" s="149"/>
      <c r="BQ517" s="149"/>
      <c r="BR517" s="149"/>
      <c r="BS517" s="149"/>
      <c r="BT517" s="149"/>
      <c r="BU517" s="149"/>
      <c r="BV517" s="149"/>
      <c r="BW517" s="149"/>
      <c r="BX517" s="149"/>
      <c r="BY517" s="149"/>
      <c r="BZ517" s="149"/>
      <c r="CA517" s="149"/>
      <c r="CB517" s="149"/>
      <c r="CC517" s="149"/>
      <c r="CD517" s="149"/>
      <c r="CE517" s="149"/>
      <c r="CF517" s="149"/>
      <c r="CG517" s="149"/>
      <c r="CH517" s="149"/>
      <c r="CI517" s="149"/>
      <c r="CJ517" s="149"/>
      <c r="CK517" s="149"/>
      <c r="CL517" s="149"/>
      <c r="CM517" s="149"/>
      <c r="CN517" s="149"/>
      <c r="CO517" s="149"/>
      <c r="CP517" s="149"/>
      <c r="CQ517" s="149"/>
      <c r="CR517" s="149"/>
      <c r="CS517" s="149"/>
      <c r="CT517" s="149"/>
      <c r="CU517" s="149"/>
      <c r="CV517" s="149"/>
      <c r="CW517" s="149"/>
      <c r="CX517" s="149"/>
      <c r="CY517" s="149"/>
      <c r="CZ517" s="149"/>
      <c r="DA517" s="149"/>
      <c r="DB517" s="149"/>
      <c r="DC517" s="149"/>
      <c r="DD517" s="149"/>
    </row>
    <row r="518" spans="1:108" x14ac:dyDescent="0.35">
      <c r="A518" s="149"/>
      <c r="E518" s="149"/>
      <c r="F518" s="149"/>
      <c r="G518" s="149"/>
      <c r="H518" s="149"/>
      <c r="I518" s="149"/>
      <c r="J518" s="149"/>
      <c r="K518" s="149"/>
      <c r="L518" s="149"/>
      <c r="M518" s="149"/>
      <c r="N518" s="149"/>
      <c r="O518" s="149"/>
      <c r="P518" s="149"/>
      <c r="Q518" s="149"/>
      <c r="R518" s="149"/>
      <c r="S518" s="149"/>
      <c r="T518" s="149"/>
      <c r="U518" s="149"/>
      <c r="V518" s="149"/>
      <c r="W518" s="149"/>
      <c r="X518" s="149"/>
      <c r="Y518" s="149"/>
      <c r="Z518" s="149"/>
      <c r="AA518" s="149"/>
      <c r="AB518" s="149"/>
      <c r="AC518" s="149"/>
      <c r="AD518" s="149"/>
      <c r="AE518" s="149"/>
      <c r="AF518" s="149"/>
      <c r="AG518" s="149"/>
      <c r="AH518" s="149"/>
      <c r="AI518" s="149"/>
      <c r="AJ518" s="149"/>
      <c r="AK518" s="149"/>
      <c r="AL518" s="149"/>
      <c r="AM518" s="149"/>
      <c r="AN518" s="149"/>
      <c r="AO518" s="149"/>
      <c r="AP518" s="149"/>
      <c r="AQ518" s="149"/>
      <c r="AR518" s="149"/>
      <c r="AS518" s="149"/>
      <c r="AT518" s="149"/>
      <c r="AU518" s="149"/>
      <c r="AV518" s="149"/>
      <c r="AW518" s="149"/>
      <c r="AX518" s="149"/>
      <c r="AY518" s="149"/>
      <c r="AZ518" s="149"/>
      <c r="BA518" s="149"/>
      <c r="BB518" s="149"/>
      <c r="BC518" s="149"/>
      <c r="BD518" s="149"/>
      <c r="BE518" s="149"/>
      <c r="BF518" s="149"/>
      <c r="BG518" s="149"/>
      <c r="BH518" s="149"/>
      <c r="BI518" s="149"/>
      <c r="BJ518" s="149"/>
      <c r="BK518" s="149"/>
      <c r="BL518" s="149"/>
      <c r="BM518" s="149"/>
      <c r="BN518" s="149"/>
      <c r="BO518" s="149"/>
      <c r="BP518" s="149"/>
      <c r="BQ518" s="149"/>
      <c r="BR518" s="149"/>
      <c r="BS518" s="149"/>
      <c r="BT518" s="149"/>
      <c r="BU518" s="149"/>
      <c r="BV518" s="149"/>
      <c r="BW518" s="149"/>
      <c r="BX518" s="149"/>
      <c r="BY518" s="149"/>
      <c r="BZ518" s="149"/>
      <c r="CA518" s="149"/>
      <c r="CB518" s="149"/>
      <c r="CC518" s="149"/>
      <c r="CD518" s="149"/>
      <c r="CE518" s="149"/>
      <c r="CF518" s="149"/>
      <c r="CG518" s="149"/>
      <c r="CH518" s="149"/>
      <c r="CI518" s="149"/>
      <c r="CJ518" s="149"/>
      <c r="CK518" s="149"/>
      <c r="CL518" s="149"/>
      <c r="CM518" s="149"/>
      <c r="CN518" s="149"/>
      <c r="CO518" s="149"/>
      <c r="CP518" s="149"/>
      <c r="CQ518" s="149"/>
      <c r="CR518" s="149"/>
      <c r="CS518" s="149"/>
      <c r="CT518" s="149"/>
      <c r="CU518" s="149"/>
      <c r="CV518" s="149"/>
      <c r="CW518" s="149"/>
      <c r="CX518" s="149"/>
      <c r="CY518" s="149"/>
      <c r="CZ518" s="149"/>
      <c r="DA518" s="149"/>
      <c r="DB518" s="149"/>
      <c r="DC518" s="149"/>
      <c r="DD518" s="149"/>
    </row>
    <row r="519" spans="1:108" x14ac:dyDescent="0.35">
      <c r="A519" s="149"/>
      <c r="E519" s="149"/>
      <c r="F519" s="149"/>
      <c r="G519" s="149"/>
      <c r="H519" s="149"/>
      <c r="I519" s="149"/>
      <c r="J519" s="149"/>
      <c r="K519" s="149"/>
      <c r="L519" s="149"/>
      <c r="M519" s="149"/>
      <c r="N519" s="149"/>
      <c r="O519" s="149"/>
      <c r="P519" s="149"/>
      <c r="Q519" s="149"/>
      <c r="R519" s="149"/>
      <c r="S519" s="149"/>
      <c r="T519" s="149"/>
      <c r="U519" s="149"/>
      <c r="V519" s="149"/>
      <c r="W519" s="149"/>
      <c r="X519" s="149"/>
      <c r="Y519" s="149"/>
      <c r="Z519" s="149"/>
      <c r="AA519" s="149"/>
      <c r="AB519" s="149"/>
      <c r="AC519" s="149"/>
      <c r="AD519" s="149"/>
      <c r="AE519" s="149"/>
      <c r="AF519" s="149"/>
      <c r="AG519" s="149"/>
      <c r="AH519" s="149"/>
      <c r="AI519" s="149"/>
      <c r="AJ519" s="149"/>
      <c r="AK519" s="149"/>
      <c r="AL519" s="149"/>
      <c r="AM519" s="149"/>
      <c r="AN519" s="149"/>
      <c r="AO519" s="149"/>
      <c r="AP519" s="149"/>
      <c r="AQ519" s="149"/>
      <c r="AR519" s="149"/>
      <c r="AS519" s="149"/>
      <c r="AT519" s="149"/>
      <c r="AU519" s="149"/>
      <c r="AV519" s="149"/>
      <c r="AW519" s="149"/>
      <c r="AX519" s="149"/>
      <c r="AY519" s="149"/>
      <c r="AZ519" s="149"/>
      <c r="BA519" s="149"/>
      <c r="BB519" s="149"/>
      <c r="BC519" s="149"/>
      <c r="BD519" s="149"/>
      <c r="BE519" s="149"/>
      <c r="BF519" s="149"/>
      <c r="BG519" s="149"/>
      <c r="BH519" s="149"/>
      <c r="BI519" s="149"/>
      <c r="BJ519" s="149"/>
      <c r="BK519" s="149"/>
      <c r="BL519" s="149"/>
      <c r="BM519" s="149"/>
      <c r="BN519" s="149"/>
      <c r="BO519" s="149"/>
      <c r="BP519" s="149"/>
      <c r="BQ519" s="149"/>
      <c r="BR519" s="149"/>
      <c r="BS519" s="149"/>
      <c r="BT519" s="149"/>
      <c r="BU519" s="149"/>
      <c r="BV519" s="149"/>
      <c r="BW519" s="149"/>
      <c r="BX519" s="149"/>
      <c r="BY519" s="149"/>
      <c r="BZ519" s="149"/>
      <c r="CA519" s="149"/>
      <c r="CB519" s="149"/>
      <c r="CC519" s="149"/>
      <c r="CD519" s="149"/>
      <c r="CE519" s="149"/>
      <c r="CF519" s="149"/>
      <c r="CG519" s="149"/>
      <c r="CH519" s="149"/>
      <c r="CI519" s="149"/>
      <c r="CJ519" s="149"/>
      <c r="CK519" s="149"/>
      <c r="CL519" s="149"/>
      <c r="CM519" s="149"/>
      <c r="CN519" s="149"/>
      <c r="CO519" s="149"/>
      <c r="CP519" s="149"/>
      <c r="CQ519" s="149"/>
      <c r="CR519" s="149"/>
      <c r="CS519" s="149"/>
      <c r="CT519" s="149"/>
      <c r="CU519" s="149"/>
      <c r="CV519" s="149"/>
      <c r="CW519" s="149"/>
      <c r="CX519" s="149"/>
      <c r="CY519" s="149"/>
      <c r="CZ519" s="149"/>
      <c r="DA519" s="149"/>
      <c r="DB519" s="149"/>
      <c r="DC519" s="149"/>
      <c r="DD519" s="149"/>
    </row>
    <row r="520" spans="1:108" x14ac:dyDescent="0.35">
      <c r="A520" s="149"/>
      <c r="E520" s="149"/>
      <c r="F520" s="149"/>
      <c r="G520" s="149"/>
      <c r="H520" s="149"/>
      <c r="I520" s="149"/>
      <c r="J520" s="149"/>
      <c r="K520" s="149"/>
      <c r="L520" s="149"/>
      <c r="M520" s="149"/>
      <c r="N520" s="149"/>
      <c r="O520" s="149"/>
      <c r="P520" s="149"/>
      <c r="Q520" s="149"/>
      <c r="R520" s="149"/>
      <c r="S520" s="149"/>
      <c r="T520" s="149"/>
      <c r="U520" s="149"/>
      <c r="V520" s="149"/>
      <c r="W520" s="149"/>
      <c r="X520" s="149"/>
      <c r="Y520" s="149"/>
      <c r="Z520" s="149"/>
      <c r="AA520" s="149"/>
      <c r="AB520" s="149"/>
      <c r="AC520" s="149"/>
      <c r="AD520" s="149"/>
      <c r="AE520" s="149"/>
      <c r="AF520" s="149"/>
      <c r="AG520" s="149"/>
      <c r="AH520" s="149"/>
      <c r="AI520" s="149"/>
      <c r="AJ520" s="149"/>
      <c r="AK520" s="149"/>
      <c r="AL520" s="149"/>
      <c r="AM520" s="149"/>
      <c r="AN520" s="149"/>
      <c r="AO520" s="149"/>
      <c r="AP520" s="149"/>
      <c r="AQ520" s="149"/>
      <c r="AR520" s="149"/>
      <c r="AS520" s="149"/>
      <c r="AT520" s="149"/>
      <c r="AU520" s="149"/>
      <c r="AV520" s="149"/>
      <c r="AW520" s="149"/>
      <c r="AX520" s="149"/>
      <c r="AY520" s="149"/>
      <c r="AZ520" s="149"/>
      <c r="BA520" s="149"/>
      <c r="BB520" s="149"/>
      <c r="BC520" s="149"/>
      <c r="BD520" s="149"/>
      <c r="BE520" s="149"/>
      <c r="BF520" s="149"/>
      <c r="BG520" s="149"/>
      <c r="BH520" s="149"/>
      <c r="BI520" s="149"/>
      <c r="BJ520" s="149"/>
      <c r="BK520" s="149"/>
      <c r="BL520" s="149"/>
      <c r="BM520" s="149"/>
      <c r="BN520" s="149"/>
      <c r="BO520" s="149"/>
      <c r="BP520" s="149"/>
      <c r="BQ520" s="149"/>
      <c r="BR520" s="149"/>
      <c r="BS520" s="149"/>
      <c r="BT520" s="149"/>
      <c r="BU520" s="149"/>
      <c r="BV520" s="149"/>
      <c r="BW520" s="149"/>
      <c r="BX520" s="149"/>
      <c r="BY520" s="149"/>
      <c r="BZ520" s="149"/>
      <c r="CA520" s="149"/>
      <c r="CB520" s="149"/>
      <c r="CC520" s="149"/>
      <c r="CD520" s="149"/>
      <c r="CE520" s="149"/>
      <c r="CF520" s="149"/>
      <c r="CG520" s="149"/>
      <c r="CH520" s="149"/>
      <c r="CI520" s="149"/>
      <c r="CJ520" s="149"/>
      <c r="CK520" s="149"/>
      <c r="CL520" s="149"/>
      <c r="CM520" s="149"/>
      <c r="CN520" s="149"/>
      <c r="CO520" s="149"/>
      <c r="CP520" s="149"/>
      <c r="CQ520" s="149"/>
      <c r="CR520" s="149"/>
      <c r="CS520" s="149"/>
      <c r="CT520" s="149"/>
      <c r="CU520" s="149"/>
      <c r="CV520" s="149"/>
      <c r="CW520" s="149"/>
      <c r="CX520" s="149"/>
      <c r="CY520" s="149"/>
      <c r="CZ520" s="149"/>
      <c r="DA520" s="149"/>
      <c r="DB520" s="149"/>
      <c r="DC520" s="149"/>
      <c r="DD520" s="149"/>
    </row>
    <row r="521" spans="1:108" x14ac:dyDescent="0.35">
      <c r="A521" s="149"/>
      <c r="E521" s="149"/>
      <c r="F521" s="149"/>
      <c r="G521" s="149"/>
      <c r="H521" s="149"/>
      <c r="I521" s="149"/>
      <c r="J521" s="149"/>
      <c r="K521" s="149"/>
      <c r="L521" s="149"/>
      <c r="M521" s="149"/>
      <c r="N521" s="149"/>
      <c r="O521" s="149"/>
      <c r="P521" s="149"/>
      <c r="Q521" s="149"/>
      <c r="R521" s="149"/>
      <c r="S521" s="149"/>
      <c r="T521" s="149"/>
      <c r="U521" s="149"/>
      <c r="V521" s="149"/>
      <c r="W521" s="149"/>
      <c r="X521" s="149"/>
      <c r="Y521" s="149"/>
      <c r="Z521" s="149"/>
      <c r="AA521" s="149"/>
      <c r="AB521" s="149"/>
      <c r="AC521" s="149"/>
      <c r="AD521" s="149"/>
      <c r="AE521" s="149"/>
      <c r="AF521" s="149"/>
      <c r="AG521" s="149"/>
      <c r="AH521" s="149"/>
      <c r="AI521" s="149"/>
      <c r="AJ521" s="149"/>
      <c r="AK521" s="149"/>
      <c r="AL521" s="149"/>
      <c r="AM521" s="149"/>
      <c r="AN521" s="149"/>
      <c r="AO521" s="149"/>
      <c r="AP521" s="149"/>
      <c r="AQ521" s="149"/>
      <c r="AR521" s="149"/>
      <c r="AS521" s="149"/>
      <c r="AT521" s="149"/>
      <c r="AU521" s="149"/>
      <c r="AV521" s="149"/>
      <c r="AW521" s="149"/>
      <c r="AX521" s="149"/>
      <c r="AY521" s="149"/>
      <c r="AZ521" s="149"/>
      <c r="BA521" s="149"/>
      <c r="BB521" s="149"/>
      <c r="BC521" s="149"/>
      <c r="BD521" s="149"/>
      <c r="BE521" s="149"/>
      <c r="BF521" s="149"/>
      <c r="BG521" s="149"/>
      <c r="BH521" s="149"/>
      <c r="BI521" s="149"/>
      <c r="BJ521" s="149"/>
      <c r="BK521" s="149"/>
      <c r="BL521" s="149"/>
      <c r="BM521" s="149"/>
      <c r="BN521" s="149"/>
      <c r="BO521" s="149"/>
      <c r="BP521" s="149"/>
      <c r="BQ521" s="149"/>
      <c r="BR521" s="149"/>
      <c r="BS521" s="149"/>
      <c r="BT521" s="149"/>
      <c r="BU521" s="149"/>
      <c r="BV521" s="149"/>
      <c r="BW521" s="149"/>
      <c r="BX521" s="149"/>
      <c r="BY521" s="149"/>
      <c r="BZ521" s="149"/>
      <c r="CA521" s="149"/>
      <c r="CB521" s="149"/>
      <c r="CC521" s="149"/>
      <c r="CD521" s="149"/>
      <c r="CE521" s="149"/>
      <c r="CF521" s="149"/>
      <c r="CG521" s="149"/>
      <c r="CH521" s="149"/>
      <c r="CI521" s="149"/>
      <c r="CJ521" s="149"/>
      <c r="CK521" s="149"/>
      <c r="CL521" s="149"/>
      <c r="CM521" s="149"/>
      <c r="CN521" s="149"/>
      <c r="CO521" s="149"/>
      <c r="CP521" s="149"/>
      <c r="CQ521" s="149"/>
      <c r="CR521" s="149"/>
      <c r="CS521" s="149"/>
      <c r="CT521" s="149"/>
      <c r="CU521" s="149"/>
      <c r="CV521" s="149"/>
      <c r="CW521" s="149"/>
      <c r="CX521" s="149"/>
      <c r="CY521" s="149"/>
      <c r="CZ521" s="149"/>
      <c r="DA521" s="149"/>
      <c r="DB521" s="149"/>
      <c r="DC521" s="149"/>
      <c r="DD521" s="149"/>
    </row>
    <row r="522" spans="1:108" x14ac:dyDescent="0.35">
      <c r="A522" s="149"/>
      <c r="E522" s="149"/>
      <c r="F522" s="149"/>
      <c r="G522" s="149"/>
      <c r="H522" s="149"/>
      <c r="I522" s="149"/>
      <c r="J522" s="149"/>
      <c r="K522" s="149"/>
      <c r="L522" s="149"/>
      <c r="M522" s="149"/>
      <c r="N522" s="149"/>
      <c r="O522" s="149"/>
      <c r="P522" s="149"/>
      <c r="Q522" s="149"/>
      <c r="R522" s="149"/>
      <c r="S522" s="149"/>
      <c r="T522" s="149"/>
      <c r="U522" s="149"/>
      <c r="V522" s="149"/>
      <c r="W522" s="149"/>
      <c r="X522" s="149"/>
      <c r="Y522" s="149"/>
      <c r="Z522" s="149"/>
      <c r="AA522" s="149"/>
      <c r="AB522" s="149"/>
      <c r="AC522" s="149"/>
      <c r="AD522" s="149"/>
      <c r="AE522" s="149"/>
      <c r="AF522" s="149"/>
      <c r="AG522" s="149"/>
      <c r="AH522" s="149"/>
      <c r="AI522" s="149"/>
      <c r="AJ522" s="149"/>
      <c r="AK522" s="149"/>
      <c r="AL522" s="149"/>
      <c r="AM522" s="149"/>
      <c r="AN522" s="149"/>
      <c r="AO522" s="149"/>
      <c r="AP522" s="149"/>
      <c r="AQ522" s="149"/>
      <c r="AR522" s="149"/>
      <c r="AS522" s="149"/>
      <c r="AT522" s="149"/>
      <c r="AU522" s="149"/>
      <c r="AV522" s="149"/>
      <c r="AW522" s="149"/>
      <c r="AX522" s="149"/>
      <c r="AY522" s="149"/>
      <c r="AZ522" s="149"/>
      <c r="BA522" s="149"/>
      <c r="BB522" s="149"/>
      <c r="BC522" s="149"/>
      <c r="BD522" s="149"/>
      <c r="BE522" s="149"/>
      <c r="BF522" s="149"/>
      <c r="BG522" s="149"/>
      <c r="BH522" s="149"/>
      <c r="BI522" s="149"/>
      <c r="BJ522" s="149"/>
      <c r="BK522" s="149"/>
      <c r="BL522" s="149"/>
      <c r="BM522" s="149"/>
      <c r="BN522" s="149"/>
      <c r="BO522" s="149"/>
      <c r="BP522" s="149"/>
      <c r="BQ522" s="149"/>
      <c r="BR522" s="149"/>
      <c r="BS522" s="149"/>
      <c r="BT522" s="149"/>
      <c r="BU522" s="149"/>
      <c r="BV522" s="149"/>
      <c r="BW522" s="149"/>
      <c r="BX522" s="149"/>
      <c r="BY522" s="149"/>
      <c r="BZ522" s="149"/>
      <c r="CA522" s="149"/>
      <c r="CB522" s="149"/>
      <c r="CC522" s="149"/>
      <c r="CD522" s="149"/>
      <c r="CE522" s="149"/>
      <c r="CF522" s="149"/>
      <c r="CG522" s="149"/>
      <c r="CH522" s="149"/>
      <c r="CI522" s="149"/>
      <c r="CJ522" s="149"/>
      <c r="CK522" s="149"/>
      <c r="CL522" s="149"/>
      <c r="CM522" s="149"/>
      <c r="CN522" s="149"/>
      <c r="CO522" s="149"/>
      <c r="CP522" s="149"/>
      <c r="CQ522" s="149"/>
      <c r="CR522" s="149"/>
      <c r="CS522" s="149"/>
      <c r="CT522" s="149"/>
      <c r="CU522" s="149"/>
      <c r="CV522" s="149"/>
      <c r="CW522" s="149"/>
      <c r="CX522" s="149"/>
      <c r="CY522" s="149"/>
      <c r="CZ522" s="149"/>
      <c r="DA522" s="149"/>
      <c r="DB522" s="149"/>
      <c r="DC522" s="149"/>
      <c r="DD522" s="149"/>
    </row>
    <row r="523" spans="1:108" x14ac:dyDescent="0.35">
      <c r="A523" s="149"/>
      <c r="E523" s="149"/>
      <c r="F523" s="149"/>
      <c r="G523" s="149"/>
      <c r="H523" s="149"/>
      <c r="I523" s="149"/>
      <c r="J523" s="149"/>
      <c r="K523" s="149"/>
      <c r="L523" s="149"/>
      <c r="M523" s="149"/>
      <c r="N523" s="149"/>
      <c r="O523" s="149"/>
      <c r="P523" s="149"/>
      <c r="Q523" s="149"/>
      <c r="R523" s="149"/>
      <c r="S523" s="149"/>
      <c r="T523" s="149"/>
      <c r="U523" s="149"/>
      <c r="V523" s="149"/>
      <c r="W523" s="149"/>
      <c r="X523" s="149"/>
      <c r="Y523" s="149"/>
      <c r="Z523" s="149"/>
      <c r="AA523" s="149"/>
      <c r="AB523" s="149"/>
      <c r="AC523" s="149"/>
      <c r="AD523" s="149"/>
      <c r="AE523" s="149"/>
      <c r="AF523" s="149"/>
      <c r="AG523" s="149"/>
      <c r="AH523" s="149"/>
      <c r="AI523" s="149"/>
      <c r="AJ523" s="149"/>
      <c r="AK523" s="149"/>
      <c r="AL523" s="149"/>
      <c r="AM523" s="149"/>
      <c r="AN523" s="149"/>
      <c r="AO523" s="149"/>
      <c r="AP523" s="149"/>
      <c r="AQ523" s="149"/>
      <c r="AR523" s="149"/>
      <c r="AS523" s="149"/>
      <c r="AT523" s="149"/>
      <c r="AU523" s="149"/>
      <c r="AV523" s="149"/>
      <c r="AW523" s="149"/>
      <c r="AX523" s="149"/>
      <c r="AY523" s="149"/>
      <c r="AZ523" s="149"/>
      <c r="BA523" s="149"/>
      <c r="BB523" s="149"/>
      <c r="BC523" s="149"/>
      <c r="BD523" s="149"/>
      <c r="BE523" s="149"/>
      <c r="BF523" s="149"/>
      <c r="BG523" s="149"/>
      <c r="BH523" s="149"/>
      <c r="BI523" s="149"/>
      <c r="BJ523" s="149"/>
      <c r="BK523" s="149"/>
      <c r="BL523" s="149"/>
      <c r="BM523" s="149"/>
      <c r="BN523" s="149"/>
      <c r="BO523" s="149"/>
      <c r="BP523" s="149"/>
      <c r="BQ523" s="149"/>
      <c r="BR523" s="149"/>
      <c r="BS523" s="149"/>
      <c r="BT523" s="149"/>
      <c r="BU523" s="149"/>
      <c r="BV523" s="149"/>
      <c r="BW523" s="149"/>
      <c r="BX523" s="149"/>
      <c r="BY523" s="149"/>
      <c r="BZ523" s="149"/>
      <c r="CA523" s="149"/>
      <c r="CB523" s="149"/>
      <c r="CC523" s="149"/>
      <c r="CD523" s="149"/>
      <c r="CE523" s="149"/>
      <c r="CF523" s="149"/>
      <c r="CG523" s="149"/>
      <c r="CH523" s="149"/>
      <c r="CI523" s="149"/>
      <c r="CJ523" s="149"/>
      <c r="CK523" s="149"/>
      <c r="CL523" s="149"/>
      <c r="CM523" s="149"/>
      <c r="CN523" s="149"/>
      <c r="CO523" s="149"/>
      <c r="CP523" s="149"/>
      <c r="CQ523" s="149"/>
      <c r="CR523" s="149"/>
      <c r="CS523" s="149"/>
      <c r="CT523" s="149"/>
      <c r="CU523" s="149"/>
      <c r="CV523" s="149"/>
      <c r="CW523" s="149"/>
      <c r="CX523" s="149"/>
      <c r="CY523" s="149"/>
      <c r="CZ523" s="149"/>
      <c r="DA523" s="149"/>
      <c r="DB523" s="149"/>
      <c r="DC523" s="149"/>
      <c r="DD523" s="149"/>
    </row>
    <row r="524" spans="1:108" x14ac:dyDescent="0.35">
      <c r="A524" s="149"/>
      <c r="E524" s="149"/>
      <c r="F524" s="149"/>
      <c r="G524" s="149"/>
      <c r="H524" s="149"/>
      <c r="I524" s="149"/>
      <c r="J524" s="149"/>
      <c r="K524" s="149"/>
      <c r="L524" s="149"/>
      <c r="M524" s="149"/>
      <c r="N524" s="149"/>
      <c r="O524" s="149"/>
      <c r="P524" s="149"/>
      <c r="Q524" s="149"/>
      <c r="R524" s="149"/>
      <c r="S524" s="149"/>
      <c r="T524" s="149"/>
      <c r="U524" s="149"/>
      <c r="V524" s="149"/>
      <c r="W524" s="149"/>
      <c r="X524" s="149"/>
      <c r="Y524" s="149"/>
      <c r="Z524" s="149"/>
      <c r="AA524" s="149"/>
      <c r="AB524" s="149"/>
      <c r="AC524" s="149"/>
      <c r="AD524" s="149"/>
      <c r="AE524" s="149"/>
      <c r="AF524" s="149"/>
      <c r="AG524" s="149"/>
      <c r="AH524" s="149"/>
      <c r="AI524" s="149"/>
      <c r="AJ524" s="149"/>
      <c r="AK524" s="149"/>
      <c r="AL524" s="149"/>
      <c r="AM524" s="149"/>
      <c r="AN524" s="149"/>
      <c r="AO524" s="149"/>
      <c r="AP524" s="149"/>
      <c r="AQ524" s="149"/>
      <c r="AR524" s="149"/>
      <c r="AS524" s="149"/>
      <c r="AT524" s="149"/>
      <c r="AU524" s="149"/>
      <c r="AV524" s="149"/>
      <c r="AW524" s="149"/>
      <c r="AX524" s="149"/>
      <c r="AY524" s="149"/>
      <c r="AZ524" s="149"/>
      <c r="BA524" s="149"/>
      <c r="BB524" s="149"/>
      <c r="BC524" s="149"/>
      <c r="BD524" s="149"/>
      <c r="BE524" s="149"/>
      <c r="BF524" s="149"/>
      <c r="BG524" s="149"/>
      <c r="BH524" s="149"/>
      <c r="BI524" s="149"/>
      <c r="BJ524" s="149"/>
      <c r="BK524" s="149"/>
      <c r="BL524" s="149"/>
      <c r="BM524" s="149"/>
      <c r="BN524" s="149"/>
      <c r="BO524" s="149"/>
      <c r="BP524" s="149"/>
      <c r="BQ524" s="149"/>
      <c r="BR524" s="149"/>
      <c r="BS524" s="149"/>
      <c r="BT524" s="149"/>
      <c r="BU524" s="149"/>
      <c r="BV524" s="149"/>
      <c r="BW524" s="149"/>
      <c r="BX524" s="149"/>
      <c r="BY524" s="149"/>
      <c r="BZ524" s="149"/>
      <c r="CA524" s="149"/>
      <c r="CB524" s="149"/>
      <c r="CC524" s="149"/>
      <c r="CD524" s="149"/>
      <c r="CE524" s="149"/>
      <c r="CF524" s="149"/>
      <c r="CG524" s="149"/>
      <c r="CH524" s="149"/>
      <c r="CI524" s="149"/>
      <c r="CJ524" s="149"/>
      <c r="CK524" s="149"/>
      <c r="CL524" s="149"/>
      <c r="CM524" s="149"/>
      <c r="CN524" s="149"/>
      <c r="CO524" s="149"/>
      <c r="CP524" s="149"/>
      <c r="CQ524" s="149"/>
      <c r="CR524" s="149"/>
      <c r="CS524" s="149"/>
      <c r="CT524" s="149"/>
      <c r="CU524" s="149"/>
      <c r="CV524" s="149"/>
      <c r="CW524" s="149"/>
      <c r="CX524" s="149"/>
      <c r="CY524" s="149"/>
      <c r="CZ524" s="149"/>
      <c r="DA524" s="149"/>
      <c r="DB524" s="149"/>
      <c r="DC524" s="149"/>
      <c r="DD524" s="149"/>
    </row>
    <row r="525" spans="1:108" x14ac:dyDescent="0.35">
      <c r="A525" s="149"/>
      <c r="E525" s="149"/>
      <c r="F525" s="149"/>
      <c r="G525" s="149"/>
      <c r="H525" s="149"/>
      <c r="I525" s="149"/>
      <c r="J525" s="149"/>
      <c r="K525" s="149"/>
      <c r="L525" s="149"/>
      <c r="M525" s="149"/>
      <c r="N525" s="149"/>
      <c r="O525" s="149"/>
      <c r="P525" s="149"/>
      <c r="Q525" s="149"/>
      <c r="R525" s="149"/>
      <c r="S525" s="149"/>
      <c r="T525" s="149"/>
      <c r="U525" s="149"/>
      <c r="V525" s="149"/>
      <c r="W525" s="149"/>
      <c r="X525" s="149"/>
      <c r="Y525" s="149"/>
      <c r="Z525" s="149"/>
      <c r="AA525" s="149"/>
      <c r="AB525" s="149"/>
      <c r="AC525" s="149"/>
      <c r="AD525" s="149"/>
      <c r="AE525" s="149"/>
      <c r="AF525" s="149"/>
      <c r="AG525" s="149"/>
      <c r="AH525" s="149"/>
      <c r="AI525" s="149"/>
      <c r="AJ525" s="149"/>
      <c r="AK525" s="149"/>
      <c r="AL525" s="149"/>
      <c r="AM525" s="149"/>
      <c r="AN525" s="149"/>
      <c r="AO525" s="149"/>
      <c r="AP525" s="149"/>
      <c r="AQ525" s="149"/>
      <c r="AR525" s="149"/>
      <c r="AS525" s="149"/>
      <c r="AT525" s="149"/>
      <c r="AU525" s="149"/>
      <c r="AV525" s="149"/>
      <c r="AW525" s="149"/>
      <c r="AX525" s="149"/>
      <c r="AY525" s="149"/>
      <c r="AZ525" s="149"/>
      <c r="BA525" s="149"/>
      <c r="BB525" s="149"/>
      <c r="BC525" s="149"/>
      <c r="BD525" s="149"/>
      <c r="BE525" s="149"/>
      <c r="BF525" s="149"/>
      <c r="BG525" s="149"/>
      <c r="BH525" s="149"/>
      <c r="BI525" s="149"/>
      <c r="BJ525" s="149"/>
      <c r="BK525" s="149"/>
      <c r="BL525" s="149"/>
      <c r="BM525" s="149"/>
      <c r="BN525" s="149"/>
      <c r="BO525" s="149"/>
      <c r="BP525" s="149"/>
      <c r="BQ525" s="149"/>
      <c r="BR525" s="149"/>
      <c r="BS525" s="149"/>
      <c r="BT525" s="149"/>
      <c r="BU525" s="149"/>
      <c r="BV525" s="149"/>
      <c r="BW525" s="149"/>
      <c r="BX525" s="149"/>
      <c r="BY525" s="149"/>
      <c r="BZ525" s="149"/>
      <c r="CA525" s="149"/>
      <c r="CB525" s="149"/>
      <c r="CC525" s="149"/>
      <c r="CD525" s="149"/>
      <c r="CE525" s="149"/>
      <c r="CF525" s="149"/>
      <c r="CG525" s="149"/>
      <c r="CH525" s="149"/>
      <c r="CI525" s="149"/>
      <c r="CJ525" s="149"/>
      <c r="CK525" s="149"/>
      <c r="CL525" s="149"/>
      <c r="CM525" s="149"/>
      <c r="CN525" s="149"/>
      <c r="CO525" s="149"/>
      <c r="CP525" s="149"/>
      <c r="CQ525" s="149"/>
      <c r="CR525" s="149"/>
      <c r="CS525" s="149"/>
      <c r="CT525" s="149"/>
      <c r="CU525" s="149"/>
      <c r="CV525" s="149"/>
      <c r="CW525" s="149"/>
      <c r="CX525" s="149"/>
      <c r="CY525" s="149"/>
      <c r="CZ525" s="149"/>
      <c r="DA525" s="149"/>
      <c r="DB525" s="149"/>
      <c r="DC525" s="149"/>
      <c r="DD525" s="149"/>
    </row>
    <row r="526" spans="1:108" x14ac:dyDescent="0.35">
      <c r="A526" s="149"/>
      <c r="E526" s="149"/>
      <c r="F526" s="149"/>
      <c r="G526" s="149"/>
      <c r="H526" s="149"/>
      <c r="I526" s="149"/>
      <c r="J526" s="149"/>
      <c r="K526" s="149"/>
      <c r="L526" s="149"/>
      <c r="M526" s="149"/>
      <c r="N526" s="149"/>
      <c r="O526" s="149"/>
      <c r="P526" s="149"/>
      <c r="Q526" s="149"/>
      <c r="R526" s="149"/>
      <c r="S526" s="149"/>
      <c r="T526" s="149"/>
      <c r="U526" s="149"/>
      <c r="V526" s="149"/>
      <c r="W526" s="149"/>
      <c r="X526" s="149"/>
      <c r="Y526" s="149"/>
      <c r="Z526" s="149"/>
      <c r="AA526" s="149"/>
      <c r="AB526" s="149"/>
      <c r="AC526" s="149"/>
      <c r="AD526" s="149"/>
      <c r="AE526" s="149"/>
      <c r="AF526" s="149"/>
      <c r="AG526" s="149"/>
      <c r="AH526" s="149"/>
      <c r="AI526" s="149"/>
      <c r="AJ526" s="149"/>
      <c r="AK526" s="149"/>
      <c r="AL526" s="149"/>
      <c r="AM526" s="149"/>
      <c r="AN526" s="149"/>
      <c r="AO526" s="149"/>
      <c r="AP526" s="149"/>
      <c r="AQ526" s="149"/>
      <c r="AR526" s="149"/>
      <c r="AS526" s="149"/>
      <c r="AT526" s="149"/>
      <c r="AU526" s="149"/>
      <c r="AV526" s="149"/>
      <c r="AW526" s="149"/>
      <c r="AX526" s="149"/>
      <c r="AY526" s="149"/>
      <c r="AZ526" s="149"/>
      <c r="BA526" s="149"/>
      <c r="BB526" s="149"/>
      <c r="BC526" s="149"/>
      <c r="BD526" s="149"/>
      <c r="BE526" s="149"/>
      <c r="BF526" s="149"/>
      <c r="BG526" s="149"/>
      <c r="BH526" s="149"/>
      <c r="BI526" s="149"/>
      <c r="BJ526" s="149"/>
      <c r="BK526" s="149"/>
      <c r="BL526" s="149"/>
      <c r="BM526" s="149"/>
      <c r="BN526" s="149"/>
      <c r="BO526" s="149"/>
      <c r="BP526" s="149"/>
      <c r="BQ526" s="149"/>
      <c r="BR526" s="149"/>
      <c r="BS526" s="149"/>
      <c r="BT526" s="149"/>
      <c r="BU526" s="149"/>
      <c r="BV526" s="149"/>
      <c r="BW526" s="149"/>
      <c r="BX526" s="149"/>
      <c r="BY526" s="149"/>
      <c r="BZ526" s="149"/>
      <c r="CA526" s="149"/>
      <c r="CB526" s="149"/>
      <c r="CC526" s="149"/>
      <c r="CD526" s="149"/>
      <c r="CE526" s="149"/>
      <c r="CF526" s="149"/>
      <c r="CG526" s="149"/>
      <c r="CH526" s="149"/>
      <c r="CI526" s="149"/>
      <c r="CJ526" s="149"/>
      <c r="CK526" s="149"/>
      <c r="CL526" s="149"/>
      <c r="CM526" s="149"/>
      <c r="CN526" s="149"/>
      <c r="CO526" s="149"/>
      <c r="CP526" s="149"/>
      <c r="CQ526" s="149"/>
      <c r="CR526" s="149"/>
      <c r="CS526" s="149"/>
      <c r="CT526" s="149"/>
      <c r="CU526" s="149"/>
      <c r="CV526" s="149"/>
      <c r="CW526" s="149"/>
      <c r="CX526" s="149"/>
      <c r="CY526" s="149"/>
      <c r="CZ526" s="149"/>
      <c r="DA526" s="149"/>
      <c r="DB526" s="149"/>
      <c r="DC526" s="149"/>
      <c r="DD526" s="149"/>
    </row>
    <row r="527" spans="1:108" x14ac:dyDescent="0.35">
      <c r="A527" s="149"/>
      <c r="E527" s="149"/>
      <c r="F527" s="149"/>
      <c r="G527" s="149"/>
      <c r="H527" s="149"/>
      <c r="I527" s="149"/>
      <c r="J527" s="149"/>
      <c r="K527" s="149"/>
      <c r="L527" s="149"/>
      <c r="M527" s="149"/>
      <c r="N527" s="149"/>
      <c r="O527" s="149"/>
      <c r="P527" s="149"/>
      <c r="Q527" s="149"/>
      <c r="R527" s="149"/>
      <c r="S527" s="149"/>
      <c r="T527" s="149"/>
      <c r="U527" s="149"/>
      <c r="V527" s="149"/>
      <c r="W527" s="149"/>
      <c r="X527" s="149"/>
      <c r="Y527" s="149"/>
      <c r="Z527" s="149"/>
      <c r="AA527" s="149"/>
      <c r="AB527" s="149"/>
      <c r="AC527" s="149"/>
      <c r="AD527" s="149"/>
      <c r="AE527" s="149"/>
      <c r="AF527" s="149"/>
      <c r="AG527" s="149"/>
      <c r="AH527" s="149"/>
      <c r="AI527" s="149"/>
      <c r="AJ527" s="149"/>
      <c r="AK527" s="149"/>
      <c r="AL527" s="149"/>
      <c r="AM527" s="149"/>
      <c r="AN527" s="149"/>
      <c r="AO527" s="149"/>
      <c r="AP527" s="149"/>
      <c r="AQ527" s="149"/>
      <c r="AR527" s="149"/>
      <c r="AS527" s="149"/>
      <c r="AT527" s="149"/>
      <c r="AU527" s="149"/>
      <c r="AV527" s="149"/>
      <c r="AW527" s="149"/>
      <c r="AX527" s="149"/>
      <c r="AY527" s="149"/>
      <c r="AZ527" s="149"/>
      <c r="BA527" s="149"/>
      <c r="BB527" s="149"/>
      <c r="BC527" s="149"/>
      <c r="BD527" s="149"/>
      <c r="BE527" s="149"/>
      <c r="BF527" s="149"/>
      <c r="BG527" s="149"/>
      <c r="BH527" s="149"/>
      <c r="BI527" s="149"/>
      <c r="BJ527" s="149"/>
      <c r="BK527" s="149"/>
      <c r="BL527" s="149"/>
      <c r="BM527" s="149"/>
      <c r="BN527" s="149"/>
      <c r="BO527" s="149"/>
      <c r="BP527" s="149"/>
      <c r="BQ527" s="149"/>
      <c r="BR527" s="149"/>
      <c r="BS527" s="149"/>
      <c r="BT527" s="149"/>
      <c r="BU527" s="149"/>
      <c r="BV527" s="149"/>
      <c r="BW527" s="149"/>
      <c r="BX527" s="149"/>
      <c r="BY527" s="149"/>
      <c r="BZ527" s="149"/>
      <c r="CA527" s="149"/>
      <c r="CB527" s="149"/>
      <c r="CC527" s="149"/>
      <c r="CD527" s="149"/>
      <c r="CE527" s="149"/>
      <c r="CF527" s="149"/>
      <c r="CG527" s="149"/>
      <c r="CH527" s="149"/>
      <c r="CI527" s="149"/>
      <c r="CJ527" s="149"/>
      <c r="CK527" s="149"/>
      <c r="CL527" s="149"/>
      <c r="CM527" s="149"/>
      <c r="CN527" s="149"/>
      <c r="CO527" s="149"/>
      <c r="CP527" s="149"/>
      <c r="CQ527" s="149"/>
      <c r="CR527" s="149"/>
      <c r="CS527" s="149"/>
      <c r="CT527" s="149"/>
      <c r="CU527" s="149"/>
      <c r="CV527" s="149"/>
      <c r="CW527" s="149"/>
      <c r="CX527" s="149"/>
      <c r="CY527" s="149"/>
      <c r="CZ527" s="149"/>
      <c r="DA527" s="149"/>
      <c r="DB527" s="149"/>
      <c r="DC527" s="149"/>
      <c r="DD527" s="149"/>
    </row>
    <row r="528" spans="1:108" x14ac:dyDescent="0.35">
      <c r="A528" s="149"/>
      <c r="E528" s="149"/>
      <c r="F528" s="149"/>
      <c r="G528" s="149"/>
      <c r="H528" s="149"/>
      <c r="I528" s="149"/>
      <c r="J528" s="149"/>
      <c r="K528" s="149"/>
      <c r="L528" s="149"/>
      <c r="M528" s="149"/>
      <c r="N528" s="149"/>
      <c r="O528" s="149"/>
      <c r="P528" s="149"/>
      <c r="Q528" s="149"/>
      <c r="R528" s="149"/>
      <c r="S528" s="149"/>
      <c r="T528" s="149"/>
      <c r="U528" s="149"/>
      <c r="V528" s="149"/>
      <c r="W528" s="149"/>
      <c r="X528" s="149"/>
      <c r="Y528" s="149"/>
      <c r="Z528" s="149"/>
      <c r="AA528" s="149"/>
      <c r="AB528" s="149"/>
      <c r="AC528" s="149"/>
      <c r="AD528" s="149"/>
      <c r="AE528" s="149"/>
      <c r="AF528" s="149"/>
      <c r="AG528" s="149"/>
      <c r="AH528" s="149"/>
      <c r="AI528" s="149"/>
      <c r="AJ528" s="149"/>
      <c r="AK528" s="149"/>
      <c r="AL528" s="149"/>
      <c r="AM528" s="149"/>
      <c r="AN528" s="149"/>
      <c r="AO528" s="149"/>
      <c r="AP528" s="149"/>
      <c r="AQ528" s="149"/>
      <c r="AR528" s="149"/>
      <c r="AS528" s="149"/>
      <c r="AT528" s="149"/>
      <c r="AU528" s="149"/>
      <c r="AV528" s="149"/>
      <c r="AW528" s="149"/>
      <c r="AX528" s="149"/>
      <c r="AY528" s="149"/>
      <c r="AZ528" s="149"/>
      <c r="BA528" s="149"/>
      <c r="BB528" s="149"/>
      <c r="BC528" s="149"/>
      <c r="BD528" s="149"/>
      <c r="BE528" s="149"/>
      <c r="BF528" s="149"/>
      <c r="BG528" s="149"/>
      <c r="BH528" s="149"/>
      <c r="BI528" s="149"/>
      <c r="BJ528" s="149"/>
      <c r="BK528" s="149"/>
      <c r="BL528" s="149"/>
      <c r="BM528" s="149"/>
      <c r="BN528" s="149"/>
      <c r="BO528" s="149"/>
      <c r="BP528" s="149"/>
      <c r="BQ528" s="149"/>
      <c r="BR528" s="149"/>
      <c r="BS528" s="149"/>
      <c r="BT528" s="149"/>
      <c r="BU528" s="149"/>
      <c r="BV528" s="149"/>
      <c r="BW528" s="149"/>
      <c r="BX528" s="149"/>
      <c r="BY528" s="149"/>
      <c r="BZ528" s="149"/>
      <c r="CA528" s="149"/>
      <c r="CB528" s="149"/>
      <c r="CC528" s="149"/>
      <c r="CD528" s="149"/>
      <c r="CE528" s="149"/>
      <c r="CF528" s="149"/>
      <c r="CG528" s="149"/>
      <c r="CH528" s="149"/>
      <c r="CI528" s="149"/>
      <c r="CJ528" s="149"/>
      <c r="CK528" s="149"/>
      <c r="CL528" s="149"/>
      <c r="CM528" s="149"/>
      <c r="CN528" s="149"/>
      <c r="CO528" s="149"/>
      <c r="CP528" s="149"/>
      <c r="CQ528" s="149"/>
      <c r="CR528" s="149"/>
      <c r="CS528" s="149"/>
      <c r="CT528" s="149"/>
      <c r="CU528" s="149"/>
      <c r="CV528" s="149"/>
      <c r="CW528" s="149"/>
      <c r="CX528" s="149"/>
      <c r="CY528" s="149"/>
      <c r="CZ528" s="149"/>
      <c r="DA528" s="149"/>
      <c r="DB528" s="149"/>
      <c r="DC528" s="149"/>
      <c r="DD528" s="149"/>
    </row>
    <row r="529" spans="1:108" x14ac:dyDescent="0.35">
      <c r="A529" s="149"/>
      <c r="E529" s="149"/>
      <c r="F529" s="149"/>
      <c r="G529" s="149"/>
      <c r="H529" s="149"/>
      <c r="I529" s="149"/>
      <c r="J529" s="149"/>
      <c r="K529" s="149"/>
      <c r="L529" s="149"/>
      <c r="M529" s="149"/>
      <c r="N529" s="149"/>
      <c r="O529" s="149"/>
      <c r="P529" s="149"/>
      <c r="Q529" s="149"/>
      <c r="R529" s="149"/>
      <c r="S529" s="149"/>
      <c r="T529" s="149"/>
      <c r="U529" s="149"/>
      <c r="V529" s="149"/>
      <c r="W529" s="149"/>
      <c r="X529" s="149"/>
      <c r="Y529" s="149"/>
      <c r="Z529" s="149"/>
      <c r="AA529" s="149"/>
      <c r="AB529" s="149"/>
      <c r="AC529" s="149"/>
      <c r="AD529" s="149"/>
      <c r="AE529" s="149"/>
      <c r="AF529" s="149"/>
      <c r="AG529" s="149"/>
      <c r="AH529" s="149"/>
      <c r="AI529" s="149"/>
      <c r="AJ529" s="149"/>
      <c r="AK529" s="149"/>
      <c r="AL529" s="149"/>
      <c r="AM529" s="149"/>
      <c r="AN529" s="149"/>
      <c r="AO529" s="149"/>
      <c r="AP529" s="149"/>
      <c r="AQ529" s="149"/>
      <c r="AR529" s="149"/>
      <c r="AS529" s="149"/>
      <c r="AT529" s="149"/>
      <c r="AU529" s="149"/>
      <c r="AV529" s="149"/>
      <c r="AW529" s="149"/>
      <c r="AX529" s="149"/>
      <c r="AY529" s="149"/>
      <c r="AZ529" s="149"/>
      <c r="BA529" s="149"/>
      <c r="BB529" s="149"/>
      <c r="BC529" s="149"/>
      <c r="BD529" s="149"/>
      <c r="BE529" s="149"/>
      <c r="BF529" s="149"/>
      <c r="BG529" s="149"/>
      <c r="BH529" s="149"/>
      <c r="BI529" s="149"/>
      <c r="BJ529" s="149"/>
      <c r="BK529" s="149"/>
      <c r="BL529" s="149"/>
      <c r="BM529" s="149"/>
      <c r="BN529" s="149"/>
      <c r="BO529" s="149"/>
      <c r="BP529" s="149"/>
      <c r="BQ529" s="149"/>
      <c r="BR529" s="149"/>
      <c r="BS529" s="149"/>
      <c r="BT529" s="149"/>
      <c r="BU529" s="149"/>
      <c r="BV529" s="149"/>
      <c r="BW529" s="149"/>
      <c r="BX529" s="149"/>
      <c r="BY529" s="149"/>
      <c r="BZ529" s="149"/>
      <c r="CA529" s="149"/>
      <c r="CB529" s="149"/>
      <c r="CC529" s="149"/>
      <c r="CD529" s="149"/>
      <c r="CE529" s="149"/>
      <c r="CF529" s="149"/>
      <c r="CG529" s="149"/>
      <c r="CH529" s="149"/>
      <c r="CI529" s="149"/>
      <c r="CJ529" s="149"/>
      <c r="CK529" s="149"/>
      <c r="CL529" s="149"/>
      <c r="CM529" s="149"/>
      <c r="CN529" s="149"/>
      <c r="CO529" s="149"/>
      <c r="CP529" s="149"/>
      <c r="CQ529" s="149"/>
      <c r="CR529" s="149"/>
      <c r="CS529" s="149"/>
      <c r="CT529" s="149"/>
      <c r="CU529" s="149"/>
      <c r="CV529" s="149"/>
      <c r="CW529" s="149"/>
      <c r="CX529" s="149"/>
      <c r="CY529" s="149"/>
      <c r="CZ529" s="149"/>
      <c r="DA529" s="149"/>
      <c r="DB529" s="149"/>
      <c r="DC529" s="149"/>
      <c r="DD529" s="149"/>
    </row>
    <row r="530" spans="1:108" x14ac:dyDescent="0.35">
      <c r="A530" s="149"/>
      <c r="E530" s="149"/>
      <c r="F530" s="149"/>
      <c r="G530" s="149"/>
      <c r="H530" s="149"/>
      <c r="I530" s="149"/>
      <c r="J530" s="149"/>
      <c r="K530" s="149"/>
      <c r="L530" s="149"/>
      <c r="M530" s="149"/>
      <c r="N530" s="149"/>
      <c r="O530" s="149"/>
      <c r="P530" s="149"/>
      <c r="Q530" s="149"/>
      <c r="R530" s="149"/>
      <c r="S530" s="149"/>
      <c r="T530" s="149"/>
      <c r="U530" s="149"/>
      <c r="V530" s="149"/>
      <c r="W530" s="149"/>
      <c r="X530" s="149"/>
      <c r="Y530" s="149"/>
      <c r="Z530" s="149"/>
      <c r="AA530" s="149"/>
      <c r="AB530" s="149"/>
      <c r="AC530" s="149"/>
      <c r="AD530" s="149"/>
      <c r="AE530" s="149"/>
      <c r="AF530" s="149"/>
      <c r="AG530" s="149"/>
      <c r="AH530" s="149"/>
      <c r="AI530" s="149"/>
      <c r="AJ530" s="149"/>
      <c r="AK530" s="149"/>
      <c r="AL530" s="149"/>
      <c r="AM530" s="149"/>
      <c r="AN530" s="149"/>
      <c r="AO530" s="149"/>
      <c r="AP530" s="149"/>
      <c r="AQ530" s="149"/>
      <c r="AR530" s="149"/>
      <c r="AS530" s="149"/>
      <c r="AT530" s="149"/>
      <c r="AU530" s="149"/>
      <c r="AV530" s="149"/>
      <c r="AW530" s="149"/>
      <c r="AX530" s="149"/>
      <c r="AY530" s="149"/>
      <c r="AZ530" s="149"/>
      <c r="BA530" s="149"/>
      <c r="BB530" s="149"/>
      <c r="BC530" s="149"/>
      <c r="BD530" s="149"/>
      <c r="BE530" s="149"/>
      <c r="BF530" s="149"/>
      <c r="BG530" s="149"/>
      <c r="BH530" s="149"/>
      <c r="BI530" s="149"/>
      <c r="BJ530" s="149"/>
      <c r="BK530" s="149"/>
      <c r="BL530" s="149"/>
      <c r="BM530" s="149"/>
      <c r="BN530" s="149"/>
      <c r="BO530" s="149"/>
      <c r="BP530" s="149"/>
      <c r="BQ530" s="149"/>
      <c r="BR530" s="149"/>
      <c r="BS530" s="149"/>
      <c r="BT530" s="149"/>
      <c r="BU530" s="149"/>
      <c r="BV530" s="149"/>
      <c r="BW530" s="149"/>
      <c r="BX530" s="149"/>
      <c r="BY530" s="149"/>
      <c r="BZ530" s="149"/>
      <c r="CA530" s="149"/>
      <c r="CB530" s="149"/>
      <c r="CC530" s="149"/>
      <c r="CD530" s="149"/>
      <c r="CE530" s="149"/>
      <c r="CF530" s="149"/>
      <c r="CG530" s="149"/>
      <c r="CH530" s="149"/>
      <c r="CI530" s="149"/>
      <c r="CJ530" s="149"/>
      <c r="CK530" s="149"/>
      <c r="CL530" s="149"/>
      <c r="CM530" s="149"/>
      <c r="CN530" s="149"/>
      <c r="CO530" s="149"/>
      <c r="CP530" s="149"/>
      <c r="CQ530" s="149"/>
      <c r="CR530" s="149"/>
      <c r="CS530" s="149"/>
      <c r="CT530" s="149"/>
      <c r="CU530" s="149"/>
      <c r="CV530" s="149"/>
      <c r="CW530" s="149"/>
      <c r="CX530" s="149"/>
      <c r="CY530" s="149"/>
      <c r="CZ530" s="149"/>
      <c r="DA530" s="149"/>
      <c r="DB530" s="149"/>
      <c r="DC530" s="149"/>
      <c r="DD530" s="149"/>
    </row>
    <row r="531" spans="1:108" x14ac:dyDescent="0.35">
      <c r="A531" s="149"/>
      <c r="E531" s="149"/>
      <c r="F531" s="149"/>
      <c r="G531" s="149"/>
      <c r="H531" s="149"/>
      <c r="I531" s="149"/>
      <c r="J531" s="149"/>
      <c r="K531" s="149"/>
      <c r="L531" s="149"/>
      <c r="M531" s="149"/>
      <c r="N531" s="149"/>
      <c r="O531" s="149"/>
      <c r="P531" s="149"/>
      <c r="Q531" s="149"/>
      <c r="R531" s="149"/>
      <c r="S531" s="149"/>
      <c r="T531" s="149"/>
      <c r="U531" s="149"/>
      <c r="V531" s="149"/>
      <c r="W531" s="149"/>
      <c r="X531" s="149"/>
      <c r="Y531" s="149"/>
      <c r="Z531" s="149"/>
      <c r="AA531" s="149"/>
      <c r="AB531" s="149"/>
      <c r="AC531" s="149"/>
      <c r="AD531" s="149"/>
      <c r="AE531" s="149"/>
      <c r="AF531" s="149"/>
      <c r="AG531" s="149"/>
      <c r="AH531" s="149"/>
      <c r="AI531" s="149"/>
      <c r="AJ531" s="149"/>
      <c r="AK531" s="149"/>
      <c r="AL531" s="149"/>
      <c r="AM531" s="149"/>
      <c r="AN531" s="149"/>
      <c r="AO531" s="149"/>
      <c r="AP531" s="149"/>
      <c r="AQ531" s="149"/>
      <c r="AR531" s="149"/>
      <c r="AS531" s="149"/>
      <c r="AT531" s="149"/>
      <c r="AU531" s="149"/>
      <c r="AV531" s="149"/>
      <c r="AW531" s="149"/>
      <c r="AX531" s="149"/>
      <c r="AY531" s="149"/>
      <c r="AZ531" s="149"/>
      <c r="BA531" s="149"/>
      <c r="BB531" s="149"/>
      <c r="BC531" s="149"/>
      <c r="BD531" s="149"/>
      <c r="BE531" s="149"/>
      <c r="BF531" s="149"/>
      <c r="BG531" s="149"/>
      <c r="BH531" s="149"/>
      <c r="BI531" s="149"/>
      <c r="BJ531" s="149"/>
      <c r="BK531" s="149"/>
      <c r="BL531" s="149"/>
      <c r="BM531" s="149"/>
      <c r="BN531" s="149"/>
      <c r="BO531" s="149"/>
      <c r="BP531" s="149"/>
      <c r="BQ531" s="149"/>
      <c r="BR531" s="149"/>
      <c r="BS531" s="149"/>
      <c r="BT531" s="149"/>
      <c r="BU531" s="149"/>
      <c r="BV531" s="149"/>
      <c r="BW531" s="149"/>
      <c r="BX531" s="149"/>
      <c r="BY531" s="149"/>
      <c r="BZ531" s="149"/>
      <c r="CA531" s="149"/>
      <c r="CB531" s="149"/>
      <c r="CC531" s="149"/>
      <c r="CD531" s="149"/>
      <c r="CE531" s="149"/>
      <c r="CF531" s="149"/>
      <c r="CG531" s="149"/>
      <c r="CH531" s="149"/>
      <c r="CI531" s="149"/>
      <c r="CJ531" s="149"/>
      <c r="CK531" s="149"/>
      <c r="CL531" s="149"/>
      <c r="CM531" s="149"/>
      <c r="CN531" s="149"/>
      <c r="CO531" s="149"/>
      <c r="CP531" s="149"/>
      <c r="CQ531" s="149"/>
      <c r="CR531" s="149"/>
      <c r="CS531" s="149"/>
      <c r="CT531" s="149"/>
      <c r="CU531" s="149"/>
      <c r="CV531" s="149"/>
      <c r="CW531" s="149"/>
      <c r="CX531" s="149"/>
      <c r="CY531" s="149"/>
      <c r="CZ531" s="149"/>
      <c r="DA531" s="149"/>
      <c r="DB531" s="149"/>
      <c r="DC531" s="149"/>
      <c r="DD531" s="149"/>
    </row>
    <row r="532" spans="1:108" x14ac:dyDescent="0.35">
      <c r="A532" s="149"/>
      <c r="E532" s="149"/>
      <c r="F532" s="149"/>
      <c r="G532" s="149"/>
      <c r="H532" s="149"/>
      <c r="I532" s="149"/>
      <c r="J532" s="149"/>
      <c r="K532" s="149"/>
      <c r="L532" s="149"/>
      <c r="M532" s="149"/>
      <c r="N532" s="149"/>
      <c r="O532" s="149"/>
      <c r="P532" s="149"/>
      <c r="Q532" s="149"/>
      <c r="R532" s="149"/>
      <c r="S532" s="149"/>
      <c r="T532" s="149"/>
      <c r="U532" s="149"/>
      <c r="V532" s="149"/>
      <c r="W532" s="149"/>
      <c r="X532" s="149"/>
      <c r="Y532" s="149"/>
      <c r="Z532" s="149"/>
      <c r="AA532" s="149"/>
      <c r="AB532" s="149"/>
      <c r="AC532" s="149"/>
      <c r="AD532" s="149"/>
      <c r="AE532" s="149"/>
      <c r="AF532" s="149"/>
      <c r="AG532" s="149"/>
      <c r="AH532" s="149"/>
      <c r="AI532" s="149"/>
      <c r="AJ532" s="149"/>
      <c r="AK532" s="149"/>
      <c r="AL532" s="149"/>
      <c r="AM532" s="149"/>
      <c r="AN532" s="149"/>
      <c r="AO532" s="149"/>
      <c r="AP532" s="149"/>
      <c r="AQ532" s="149"/>
      <c r="AR532" s="149"/>
      <c r="AS532" s="149"/>
      <c r="AT532" s="149"/>
      <c r="AU532" s="149"/>
      <c r="AV532" s="149"/>
      <c r="AW532" s="149"/>
      <c r="AX532" s="149"/>
      <c r="AY532" s="149"/>
      <c r="AZ532" s="149"/>
      <c r="BA532" s="149"/>
      <c r="BB532" s="149"/>
      <c r="BC532" s="149"/>
      <c r="BD532" s="149"/>
      <c r="BE532" s="149"/>
      <c r="BF532" s="149"/>
      <c r="BG532" s="149"/>
      <c r="BH532" s="149"/>
      <c r="BI532" s="149"/>
      <c r="BJ532" s="149"/>
      <c r="BK532" s="149"/>
      <c r="BL532" s="149"/>
      <c r="BM532" s="149"/>
      <c r="BN532" s="149"/>
      <c r="BO532" s="149"/>
      <c r="BP532" s="149"/>
      <c r="BQ532" s="149"/>
      <c r="BR532" s="149"/>
      <c r="BS532" s="149"/>
      <c r="BT532" s="149"/>
      <c r="BU532" s="149"/>
      <c r="BV532" s="149"/>
      <c r="BW532" s="149"/>
      <c r="BX532" s="149"/>
      <c r="BY532" s="149"/>
      <c r="BZ532" s="149"/>
      <c r="CA532" s="149"/>
      <c r="CB532" s="149"/>
      <c r="CC532" s="149"/>
      <c r="CD532" s="149"/>
      <c r="CE532" s="149"/>
      <c r="CF532" s="149"/>
      <c r="CG532" s="149"/>
      <c r="CH532" s="149"/>
      <c r="CI532" s="149"/>
      <c r="CJ532" s="149"/>
      <c r="CK532" s="149"/>
      <c r="CL532" s="149"/>
      <c r="CM532" s="149"/>
      <c r="CN532" s="149"/>
      <c r="CO532" s="149"/>
      <c r="CP532" s="149"/>
      <c r="CQ532" s="149"/>
      <c r="CR532" s="149"/>
      <c r="CS532" s="149"/>
      <c r="CT532" s="149"/>
      <c r="CU532" s="149"/>
      <c r="CV532" s="149"/>
      <c r="CW532" s="149"/>
      <c r="CX532" s="149"/>
      <c r="CY532" s="149"/>
      <c r="CZ532" s="149"/>
      <c r="DA532" s="149"/>
      <c r="DB532" s="149"/>
      <c r="DC532" s="149"/>
      <c r="DD532" s="149"/>
    </row>
    <row r="533" spans="1:108" x14ac:dyDescent="0.35">
      <c r="A533" s="149"/>
      <c r="E533" s="149"/>
      <c r="F533" s="149"/>
      <c r="G533" s="149"/>
      <c r="H533" s="149"/>
      <c r="I533" s="149"/>
      <c r="J533" s="149"/>
      <c r="K533" s="149"/>
      <c r="L533" s="149"/>
      <c r="M533" s="149"/>
      <c r="N533" s="149"/>
      <c r="O533" s="149"/>
      <c r="P533" s="149"/>
      <c r="Q533" s="149"/>
      <c r="R533" s="149"/>
      <c r="S533" s="149"/>
      <c r="T533" s="149"/>
      <c r="U533" s="149"/>
      <c r="V533" s="149"/>
      <c r="W533" s="149"/>
      <c r="X533" s="149"/>
      <c r="Y533" s="149"/>
      <c r="Z533" s="149"/>
      <c r="AA533" s="149"/>
      <c r="AB533" s="149"/>
      <c r="AC533" s="149"/>
      <c r="AD533" s="149"/>
      <c r="AE533" s="149"/>
      <c r="AF533" s="149"/>
      <c r="AG533" s="149"/>
      <c r="AH533" s="149"/>
      <c r="AI533" s="149"/>
      <c r="AJ533" s="149"/>
      <c r="AK533" s="149"/>
      <c r="AL533" s="149"/>
      <c r="AM533" s="149"/>
      <c r="AN533" s="149"/>
      <c r="AO533" s="149"/>
      <c r="AP533" s="149"/>
      <c r="AQ533" s="149"/>
      <c r="AR533" s="149"/>
      <c r="AS533" s="149"/>
      <c r="AT533" s="149"/>
      <c r="AU533" s="149"/>
      <c r="AV533" s="149"/>
      <c r="AW533" s="149"/>
      <c r="AX533" s="149"/>
      <c r="AY533" s="149"/>
      <c r="AZ533" s="149"/>
      <c r="BA533" s="149"/>
      <c r="BB533" s="149"/>
      <c r="BC533" s="149"/>
      <c r="BD533" s="149"/>
      <c r="BE533" s="149"/>
      <c r="BF533" s="149"/>
      <c r="BG533" s="149"/>
      <c r="BH533" s="149"/>
      <c r="BI533" s="149"/>
      <c r="BJ533" s="149"/>
      <c r="BK533" s="149"/>
      <c r="BL533" s="149"/>
      <c r="BM533" s="149"/>
      <c r="BN533" s="149"/>
      <c r="BO533" s="149"/>
      <c r="BP533" s="149"/>
      <c r="BQ533" s="149"/>
      <c r="BR533" s="149"/>
      <c r="BS533" s="149"/>
      <c r="BT533" s="149"/>
      <c r="BU533" s="149"/>
      <c r="BV533" s="149"/>
      <c r="BW533" s="149"/>
      <c r="BX533" s="149"/>
      <c r="BY533" s="149"/>
      <c r="BZ533" s="149"/>
      <c r="CA533" s="149"/>
      <c r="CB533" s="149"/>
      <c r="CC533" s="149"/>
      <c r="CD533" s="149"/>
      <c r="CE533" s="149"/>
      <c r="CF533" s="149"/>
      <c r="CG533" s="149"/>
      <c r="CH533" s="149"/>
      <c r="CI533" s="149"/>
      <c r="CJ533" s="149"/>
      <c r="CK533" s="149"/>
      <c r="CL533" s="149"/>
      <c r="CM533" s="149"/>
      <c r="CN533" s="149"/>
      <c r="CO533" s="149"/>
      <c r="CP533" s="149"/>
      <c r="CQ533" s="149"/>
      <c r="CR533" s="149"/>
      <c r="CS533" s="149"/>
      <c r="CT533" s="149"/>
      <c r="CU533" s="149"/>
      <c r="CV533" s="149"/>
      <c r="CW533" s="149"/>
      <c r="CX533" s="149"/>
      <c r="CY533" s="149"/>
      <c r="CZ533" s="149"/>
      <c r="DA533" s="149"/>
      <c r="DB533" s="149"/>
      <c r="DC533" s="149"/>
      <c r="DD533" s="149"/>
    </row>
    <row r="534" spans="1:108" x14ac:dyDescent="0.35">
      <c r="A534" s="149"/>
      <c r="E534" s="149"/>
      <c r="F534" s="149"/>
      <c r="G534" s="149"/>
      <c r="H534" s="149"/>
      <c r="I534" s="149"/>
      <c r="J534" s="149"/>
      <c r="K534" s="149"/>
      <c r="L534" s="149"/>
      <c r="M534" s="149"/>
      <c r="N534" s="149"/>
      <c r="O534" s="149"/>
      <c r="P534" s="149"/>
      <c r="Q534" s="149"/>
      <c r="R534" s="149"/>
      <c r="S534" s="149"/>
      <c r="T534" s="149"/>
      <c r="U534" s="149"/>
      <c r="V534" s="149"/>
      <c r="W534" s="149"/>
      <c r="X534" s="149"/>
      <c r="Y534" s="149"/>
      <c r="Z534" s="149"/>
      <c r="AA534" s="149"/>
      <c r="AB534" s="149"/>
      <c r="AC534" s="149"/>
      <c r="AD534" s="149"/>
      <c r="AE534" s="149"/>
      <c r="AF534" s="149"/>
      <c r="AG534" s="149"/>
      <c r="AH534" s="149"/>
      <c r="AI534" s="149"/>
      <c r="AJ534" s="149"/>
      <c r="AK534" s="149"/>
      <c r="AL534" s="149"/>
      <c r="AM534" s="149"/>
      <c r="AN534" s="149"/>
      <c r="AO534" s="149"/>
      <c r="AP534" s="149"/>
      <c r="AQ534" s="149"/>
      <c r="AR534" s="149"/>
      <c r="AS534" s="149"/>
      <c r="AT534" s="149"/>
      <c r="AU534" s="149"/>
      <c r="AV534" s="149"/>
      <c r="AW534" s="149"/>
      <c r="AX534" s="149"/>
      <c r="AY534" s="149"/>
      <c r="AZ534" s="149"/>
      <c r="BA534" s="149"/>
      <c r="BB534" s="149"/>
      <c r="BC534" s="149"/>
      <c r="BD534" s="149"/>
      <c r="BE534" s="149"/>
      <c r="BF534" s="149"/>
      <c r="BG534" s="149"/>
      <c r="BH534" s="149"/>
      <c r="BI534" s="149"/>
      <c r="BJ534" s="149"/>
      <c r="BK534" s="149"/>
      <c r="BL534" s="149"/>
      <c r="BM534" s="149"/>
      <c r="BN534" s="149"/>
      <c r="BO534" s="149"/>
      <c r="BP534" s="149"/>
      <c r="BQ534" s="149"/>
      <c r="BR534" s="149"/>
      <c r="BS534" s="149"/>
      <c r="BT534" s="149"/>
      <c r="BU534" s="149"/>
      <c r="BV534" s="149"/>
      <c r="BW534" s="149"/>
      <c r="BX534" s="149"/>
      <c r="BY534" s="149"/>
      <c r="BZ534" s="149"/>
      <c r="CA534" s="149"/>
      <c r="CB534" s="149"/>
      <c r="CC534" s="149"/>
      <c r="CD534" s="149"/>
      <c r="CE534" s="149"/>
      <c r="CF534" s="149"/>
      <c r="CG534" s="149"/>
      <c r="CH534" s="149"/>
      <c r="CI534" s="149"/>
      <c r="CJ534" s="149"/>
      <c r="CK534" s="149"/>
      <c r="CL534" s="149"/>
      <c r="CM534" s="149"/>
      <c r="CN534" s="149"/>
      <c r="CO534" s="149"/>
      <c r="CP534" s="149"/>
      <c r="CQ534" s="149"/>
      <c r="CR534" s="149"/>
      <c r="CS534" s="149"/>
      <c r="CT534" s="149"/>
      <c r="CU534" s="149"/>
      <c r="CV534" s="149"/>
      <c r="CW534" s="149"/>
      <c r="CX534" s="149"/>
      <c r="CY534" s="149"/>
      <c r="CZ534" s="149"/>
      <c r="DA534" s="149"/>
      <c r="DB534" s="149"/>
      <c r="DC534" s="149"/>
      <c r="DD534" s="149"/>
    </row>
    <row r="535" spans="1:108" x14ac:dyDescent="0.35">
      <c r="A535" s="149"/>
      <c r="E535" s="149"/>
      <c r="F535" s="149"/>
      <c r="G535" s="149"/>
      <c r="H535" s="149"/>
      <c r="I535" s="149"/>
      <c r="J535" s="149"/>
      <c r="K535" s="149"/>
      <c r="L535" s="149"/>
      <c r="M535" s="149"/>
      <c r="N535" s="149"/>
      <c r="O535" s="149"/>
      <c r="P535" s="149"/>
      <c r="Q535" s="149"/>
      <c r="R535" s="149"/>
      <c r="S535" s="149"/>
      <c r="T535" s="149"/>
      <c r="U535" s="149"/>
      <c r="V535" s="149"/>
      <c r="W535" s="149"/>
      <c r="X535" s="149"/>
      <c r="Y535" s="149"/>
      <c r="Z535" s="149"/>
      <c r="AA535" s="149"/>
      <c r="AB535" s="149"/>
      <c r="AC535" s="149"/>
      <c r="AD535" s="149"/>
      <c r="AE535" s="149"/>
      <c r="AF535" s="149"/>
      <c r="AG535" s="149"/>
      <c r="AH535" s="149"/>
      <c r="AI535" s="149"/>
      <c r="AJ535" s="149"/>
      <c r="AK535" s="149"/>
      <c r="AL535" s="149"/>
      <c r="AM535" s="149"/>
      <c r="AN535" s="149"/>
      <c r="AO535" s="149"/>
      <c r="AP535" s="149"/>
      <c r="AQ535" s="149"/>
      <c r="AR535" s="149"/>
      <c r="AS535" s="149"/>
      <c r="AT535" s="149"/>
      <c r="AU535" s="149"/>
      <c r="AV535" s="149"/>
      <c r="AW535" s="149"/>
      <c r="AX535" s="149"/>
      <c r="AY535" s="149"/>
      <c r="AZ535" s="149"/>
      <c r="BA535" s="149"/>
      <c r="BB535" s="149"/>
      <c r="BC535" s="149"/>
      <c r="BD535" s="149"/>
      <c r="BE535" s="149"/>
      <c r="BF535" s="149"/>
      <c r="BG535" s="149"/>
      <c r="BH535" s="149"/>
      <c r="BI535" s="149"/>
      <c r="BJ535" s="149"/>
      <c r="BK535" s="149"/>
      <c r="BL535" s="149"/>
      <c r="BM535" s="149"/>
      <c r="BN535" s="149"/>
      <c r="BO535" s="149"/>
      <c r="BP535" s="149"/>
      <c r="BQ535" s="149"/>
      <c r="BR535" s="149"/>
      <c r="BS535" s="149"/>
      <c r="BT535" s="149"/>
      <c r="BU535" s="149"/>
      <c r="BV535" s="149"/>
      <c r="BW535" s="149"/>
      <c r="BX535" s="149"/>
      <c r="BY535" s="149"/>
      <c r="BZ535" s="149"/>
      <c r="CA535" s="149"/>
      <c r="CB535" s="149"/>
      <c r="CC535" s="149"/>
      <c r="CD535" s="149"/>
      <c r="CE535" s="149"/>
      <c r="CF535" s="149"/>
      <c r="CG535" s="149"/>
      <c r="CH535" s="149"/>
      <c r="CI535" s="149"/>
      <c r="CJ535" s="149"/>
      <c r="CK535" s="149"/>
      <c r="CL535" s="149"/>
      <c r="CM535" s="149"/>
      <c r="CN535" s="149"/>
      <c r="CO535" s="149"/>
      <c r="CP535" s="149"/>
      <c r="CQ535" s="149"/>
      <c r="CR535" s="149"/>
      <c r="CS535" s="149"/>
      <c r="CT535" s="149"/>
      <c r="CU535" s="149"/>
      <c r="CV535" s="149"/>
      <c r="CW535" s="149"/>
      <c r="CX535" s="149"/>
      <c r="CY535" s="149"/>
      <c r="CZ535" s="149"/>
      <c r="DA535" s="149"/>
      <c r="DB535" s="149"/>
      <c r="DC535" s="149"/>
      <c r="DD535" s="149"/>
    </row>
    <row r="536" spans="1:108" x14ac:dyDescent="0.35">
      <c r="A536" s="149"/>
      <c r="E536" s="149"/>
      <c r="F536" s="149"/>
      <c r="G536" s="149"/>
      <c r="H536" s="149"/>
      <c r="I536" s="149"/>
      <c r="J536" s="149"/>
      <c r="K536" s="149"/>
      <c r="L536" s="149"/>
      <c r="M536" s="149"/>
      <c r="N536" s="149"/>
      <c r="O536" s="149"/>
      <c r="P536" s="149"/>
      <c r="Q536" s="149"/>
      <c r="R536" s="149"/>
      <c r="S536" s="149"/>
      <c r="T536" s="149"/>
      <c r="U536" s="149"/>
      <c r="V536" s="149"/>
      <c r="W536" s="149"/>
      <c r="X536" s="149"/>
      <c r="Y536" s="149"/>
      <c r="Z536" s="149"/>
      <c r="AA536" s="149"/>
      <c r="AB536" s="149"/>
      <c r="AC536" s="149"/>
      <c r="AD536" s="149"/>
      <c r="AE536" s="149"/>
      <c r="AF536" s="149"/>
      <c r="AG536" s="149"/>
      <c r="AH536" s="149"/>
      <c r="AI536" s="149"/>
      <c r="AJ536" s="149"/>
      <c r="AK536" s="149"/>
      <c r="AL536" s="149"/>
      <c r="AM536" s="149"/>
      <c r="AN536" s="149"/>
      <c r="AO536" s="149"/>
      <c r="AP536" s="149"/>
      <c r="AQ536" s="149"/>
      <c r="AR536" s="149"/>
      <c r="AS536" s="149"/>
      <c r="AT536" s="149"/>
      <c r="AU536" s="149"/>
      <c r="AV536" s="149"/>
      <c r="AW536" s="149"/>
      <c r="AX536" s="149"/>
      <c r="AY536" s="149"/>
      <c r="AZ536" s="149"/>
      <c r="BA536" s="149"/>
      <c r="BB536" s="149"/>
      <c r="BC536" s="149"/>
      <c r="BD536" s="149"/>
      <c r="BE536" s="149"/>
      <c r="BF536" s="149"/>
      <c r="BG536" s="149"/>
      <c r="BH536" s="149"/>
      <c r="BI536" s="149"/>
      <c r="BJ536" s="149"/>
      <c r="BK536" s="149"/>
      <c r="BL536" s="149"/>
      <c r="BM536" s="149"/>
      <c r="BN536" s="149"/>
      <c r="BO536" s="149"/>
      <c r="BP536" s="149"/>
      <c r="BQ536" s="149"/>
      <c r="BR536" s="149"/>
      <c r="BS536" s="149"/>
      <c r="BT536" s="149"/>
      <c r="BU536" s="149"/>
      <c r="BV536" s="149"/>
      <c r="BW536" s="149"/>
      <c r="BX536" s="149"/>
      <c r="BY536" s="149"/>
      <c r="BZ536" s="149"/>
      <c r="CA536" s="149"/>
      <c r="CB536" s="149"/>
      <c r="CC536" s="149"/>
      <c r="CD536" s="149"/>
      <c r="CE536" s="149"/>
      <c r="CF536" s="149"/>
      <c r="CG536" s="149"/>
      <c r="CH536" s="149"/>
      <c r="CI536" s="149"/>
      <c r="CJ536" s="149"/>
      <c r="CK536" s="149"/>
      <c r="CL536" s="149"/>
      <c r="CM536" s="149"/>
      <c r="CN536" s="149"/>
      <c r="CO536" s="149"/>
      <c r="CP536" s="149"/>
      <c r="CQ536" s="149"/>
      <c r="CR536" s="149"/>
      <c r="CS536" s="149"/>
      <c r="CT536" s="149"/>
      <c r="CU536" s="149"/>
      <c r="CV536" s="149"/>
      <c r="CW536" s="149"/>
      <c r="CX536" s="149"/>
      <c r="CY536" s="149"/>
      <c r="CZ536" s="149"/>
      <c r="DA536" s="149"/>
      <c r="DB536" s="149"/>
      <c r="DC536" s="149"/>
      <c r="DD536" s="149"/>
    </row>
    <row r="537" spans="1:108" x14ac:dyDescent="0.35">
      <c r="A537" s="149"/>
      <c r="E537" s="149"/>
      <c r="F537" s="149"/>
      <c r="G537" s="149"/>
      <c r="H537" s="149"/>
      <c r="I537" s="149"/>
      <c r="J537" s="149"/>
      <c r="K537" s="149"/>
      <c r="L537" s="149"/>
      <c r="M537" s="149"/>
      <c r="N537" s="149"/>
      <c r="O537" s="149"/>
      <c r="P537" s="149"/>
      <c r="Q537" s="149"/>
      <c r="R537" s="149"/>
      <c r="S537" s="149"/>
      <c r="T537" s="149"/>
      <c r="U537" s="149"/>
      <c r="V537" s="149"/>
      <c r="W537" s="149"/>
      <c r="X537" s="149"/>
      <c r="Y537" s="149"/>
      <c r="Z537" s="149"/>
      <c r="AA537" s="149"/>
      <c r="AB537" s="149"/>
      <c r="AC537" s="149"/>
      <c r="AD537" s="149"/>
      <c r="AE537" s="149"/>
      <c r="AF537" s="149"/>
      <c r="AG537" s="149"/>
      <c r="AH537" s="149"/>
      <c r="AI537" s="149"/>
      <c r="AJ537" s="149"/>
      <c r="AK537" s="149"/>
      <c r="AL537" s="149"/>
      <c r="AM537" s="149"/>
      <c r="AN537" s="149"/>
      <c r="AO537" s="149"/>
      <c r="AP537" s="149"/>
      <c r="AQ537" s="149"/>
      <c r="AR537" s="149"/>
      <c r="AS537" s="149"/>
      <c r="AT537" s="149"/>
      <c r="AU537" s="149"/>
      <c r="AV537" s="149"/>
      <c r="AW537" s="149"/>
      <c r="AX537" s="149"/>
      <c r="AY537" s="149"/>
      <c r="AZ537" s="149"/>
      <c r="BA537" s="149"/>
      <c r="BB537" s="149"/>
      <c r="BC537" s="149"/>
      <c r="BD537" s="149"/>
      <c r="BE537" s="149"/>
      <c r="BF537" s="149"/>
      <c r="BG537" s="149"/>
      <c r="BH537" s="149"/>
      <c r="BI537" s="149"/>
      <c r="BJ537" s="149"/>
      <c r="BK537" s="149"/>
      <c r="BL537" s="149"/>
      <c r="BM537" s="149"/>
      <c r="BN537" s="149"/>
      <c r="BO537" s="149"/>
      <c r="BP537" s="149"/>
      <c r="BQ537" s="149"/>
      <c r="BR537" s="149"/>
      <c r="BS537" s="149"/>
      <c r="BT537" s="149"/>
      <c r="BU537" s="149"/>
      <c r="BV537" s="149"/>
      <c r="BW537" s="149"/>
      <c r="BX537" s="149"/>
      <c r="BY537" s="149"/>
      <c r="BZ537" s="149"/>
      <c r="CA537" s="149"/>
      <c r="CB537" s="149"/>
      <c r="CC537" s="149"/>
      <c r="CD537" s="149"/>
      <c r="CE537" s="149"/>
      <c r="CF537" s="149"/>
      <c r="CG537" s="149"/>
      <c r="CH537" s="149"/>
      <c r="CI537" s="149"/>
      <c r="CJ537" s="149"/>
      <c r="CK537" s="149"/>
      <c r="CL537" s="149"/>
      <c r="CM537" s="149"/>
      <c r="CN537" s="149"/>
      <c r="CO537" s="149"/>
      <c r="CP537" s="149"/>
      <c r="CQ537" s="149"/>
      <c r="CR537" s="149"/>
      <c r="CS537" s="149"/>
      <c r="CT537" s="149"/>
      <c r="CU537" s="149"/>
      <c r="CV537" s="149"/>
      <c r="CW537" s="149"/>
      <c r="CX537" s="149"/>
      <c r="CY537" s="149"/>
      <c r="CZ537" s="149"/>
      <c r="DA537" s="149"/>
      <c r="DB537" s="149"/>
      <c r="DC537" s="149"/>
      <c r="DD537" s="149"/>
    </row>
    <row r="538" spans="1:108" x14ac:dyDescent="0.35">
      <c r="A538" s="149"/>
      <c r="E538" s="149"/>
      <c r="F538" s="149"/>
      <c r="G538" s="149"/>
      <c r="H538" s="149"/>
      <c r="I538" s="149"/>
      <c r="J538" s="149"/>
      <c r="K538" s="149"/>
      <c r="L538" s="149"/>
      <c r="M538" s="149"/>
      <c r="N538" s="149"/>
      <c r="O538" s="149"/>
      <c r="P538" s="149"/>
      <c r="Q538" s="149"/>
      <c r="R538" s="149"/>
      <c r="S538" s="149"/>
      <c r="T538" s="149"/>
      <c r="U538" s="149"/>
      <c r="V538" s="149"/>
      <c r="W538" s="149"/>
      <c r="X538" s="149"/>
      <c r="Y538" s="149"/>
      <c r="Z538" s="149"/>
      <c r="AA538" s="149"/>
      <c r="AB538" s="149"/>
      <c r="AC538" s="149"/>
      <c r="AD538" s="149"/>
      <c r="AE538" s="149"/>
      <c r="AF538" s="149"/>
      <c r="AG538" s="149"/>
      <c r="AH538" s="149"/>
      <c r="AI538" s="149"/>
      <c r="AJ538" s="149"/>
      <c r="AK538" s="149"/>
      <c r="AL538" s="149"/>
      <c r="AM538" s="149"/>
      <c r="AN538" s="149"/>
      <c r="AO538" s="149"/>
      <c r="AP538" s="149"/>
      <c r="AQ538" s="149"/>
      <c r="AR538" s="149"/>
      <c r="AS538" s="149"/>
      <c r="AT538" s="149"/>
      <c r="AU538" s="149"/>
      <c r="AV538" s="149"/>
      <c r="AW538" s="149"/>
      <c r="AX538" s="149"/>
      <c r="AY538" s="149"/>
      <c r="AZ538" s="149"/>
      <c r="BA538" s="149"/>
      <c r="BB538" s="149"/>
      <c r="BC538" s="149"/>
      <c r="BD538" s="149"/>
      <c r="BE538" s="149"/>
      <c r="BF538" s="149"/>
      <c r="BG538" s="149"/>
      <c r="BH538" s="149"/>
      <c r="BI538" s="149"/>
      <c r="BJ538" s="149"/>
      <c r="BK538" s="149"/>
      <c r="BL538" s="149"/>
      <c r="BM538" s="149"/>
      <c r="BN538" s="149"/>
      <c r="BO538" s="149"/>
      <c r="BP538" s="149"/>
      <c r="BQ538" s="149"/>
      <c r="BR538" s="149"/>
      <c r="BS538" s="149"/>
      <c r="BT538" s="149"/>
      <c r="BU538" s="149"/>
      <c r="BV538" s="149"/>
      <c r="BW538" s="149"/>
      <c r="BX538" s="149"/>
      <c r="BY538" s="149"/>
      <c r="BZ538" s="149"/>
      <c r="CA538" s="149"/>
      <c r="CB538" s="149"/>
      <c r="CC538" s="149"/>
      <c r="CD538" s="149"/>
      <c r="CE538" s="149"/>
      <c r="CF538" s="149"/>
      <c r="CG538" s="149"/>
      <c r="CH538" s="149"/>
      <c r="CI538" s="149"/>
      <c r="CJ538" s="149"/>
      <c r="CK538" s="149"/>
      <c r="CL538" s="149"/>
      <c r="CM538" s="149"/>
      <c r="CN538" s="149"/>
      <c r="CO538" s="149"/>
      <c r="CP538" s="149"/>
      <c r="CQ538" s="149"/>
      <c r="CR538" s="149"/>
      <c r="CS538" s="149"/>
      <c r="CT538" s="149"/>
      <c r="CU538" s="149"/>
      <c r="CV538" s="149"/>
      <c r="CW538" s="149"/>
      <c r="CX538" s="149"/>
      <c r="CY538" s="149"/>
      <c r="CZ538" s="149"/>
      <c r="DA538" s="149"/>
      <c r="DB538" s="149"/>
      <c r="DC538" s="149"/>
      <c r="DD538" s="149"/>
    </row>
    <row r="539" spans="1:108" x14ac:dyDescent="0.35">
      <c r="A539" s="149"/>
      <c r="E539" s="149"/>
      <c r="F539" s="149"/>
      <c r="G539" s="149"/>
      <c r="H539" s="149"/>
      <c r="I539" s="149"/>
      <c r="J539" s="149"/>
      <c r="K539" s="149"/>
      <c r="L539" s="149"/>
      <c r="M539" s="149"/>
      <c r="N539" s="149"/>
      <c r="O539" s="149"/>
      <c r="P539" s="149"/>
      <c r="Q539" s="149"/>
      <c r="R539" s="149"/>
      <c r="S539" s="149"/>
      <c r="T539" s="149"/>
      <c r="U539" s="149"/>
      <c r="V539" s="149"/>
      <c r="W539" s="149"/>
      <c r="X539" s="149"/>
      <c r="Y539" s="149"/>
      <c r="Z539" s="149"/>
      <c r="AA539" s="149"/>
      <c r="AB539" s="149"/>
      <c r="AC539" s="149"/>
      <c r="AD539" s="149"/>
      <c r="AE539" s="149"/>
      <c r="AF539" s="149"/>
      <c r="AG539" s="149"/>
      <c r="AH539" s="149"/>
      <c r="AI539" s="149"/>
      <c r="AJ539" s="149"/>
      <c r="AK539" s="149"/>
      <c r="AL539" s="149"/>
      <c r="AM539" s="149"/>
      <c r="AN539" s="149"/>
      <c r="AO539" s="149"/>
      <c r="AP539" s="149"/>
      <c r="AQ539" s="149"/>
      <c r="AR539" s="149"/>
      <c r="AS539" s="149"/>
      <c r="AT539" s="149"/>
      <c r="AU539" s="149"/>
      <c r="AV539" s="149"/>
      <c r="AW539" s="149"/>
      <c r="AX539" s="149"/>
      <c r="AY539" s="149"/>
      <c r="AZ539" s="149"/>
      <c r="BA539" s="149"/>
      <c r="BB539" s="149"/>
      <c r="BC539" s="149"/>
      <c r="BD539" s="149"/>
      <c r="BE539" s="149"/>
      <c r="BF539" s="149"/>
      <c r="BG539" s="149"/>
      <c r="BH539" s="149"/>
      <c r="BI539" s="149"/>
      <c r="BJ539" s="149"/>
      <c r="BK539" s="149"/>
      <c r="BL539" s="149"/>
      <c r="BM539" s="149"/>
      <c r="BN539" s="149"/>
      <c r="BO539" s="149"/>
      <c r="BP539" s="149"/>
      <c r="BQ539" s="149"/>
      <c r="BR539" s="149"/>
      <c r="BS539" s="149"/>
      <c r="BT539" s="149"/>
      <c r="BU539" s="149"/>
      <c r="BV539" s="149"/>
      <c r="BW539" s="149"/>
      <c r="BX539" s="149"/>
      <c r="BY539" s="149"/>
      <c r="BZ539" s="149"/>
      <c r="CA539" s="149"/>
      <c r="CB539" s="149"/>
      <c r="CC539" s="149"/>
      <c r="CD539" s="149"/>
      <c r="CE539" s="149"/>
      <c r="CF539" s="149"/>
      <c r="CG539" s="149"/>
      <c r="CH539" s="149"/>
      <c r="CI539" s="149"/>
      <c r="CJ539" s="149"/>
      <c r="CK539" s="149"/>
      <c r="CL539" s="149"/>
      <c r="CM539" s="149"/>
      <c r="CN539" s="149"/>
      <c r="CO539" s="149"/>
      <c r="CP539" s="149"/>
      <c r="CQ539" s="149"/>
      <c r="CR539" s="149"/>
      <c r="CS539" s="149"/>
      <c r="CT539" s="149"/>
      <c r="CU539" s="149"/>
      <c r="CV539" s="149"/>
      <c r="CW539" s="149"/>
      <c r="CX539" s="149"/>
      <c r="CY539" s="149"/>
      <c r="CZ539" s="149"/>
      <c r="DA539" s="149"/>
      <c r="DB539" s="149"/>
      <c r="DC539" s="149"/>
      <c r="DD539" s="149"/>
    </row>
    <row r="540" spans="1:108" x14ac:dyDescent="0.35">
      <c r="A540" s="149"/>
      <c r="E540" s="149"/>
      <c r="F540" s="149"/>
      <c r="G540" s="149"/>
      <c r="H540" s="149"/>
      <c r="I540" s="149"/>
      <c r="J540" s="149"/>
      <c r="K540" s="149"/>
      <c r="L540" s="149"/>
      <c r="M540" s="149"/>
      <c r="N540" s="149"/>
      <c r="O540" s="149"/>
      <c r="P540" s="149"/>
      <c r="Q540" s="149"/>
      <c r="R540" s="149"/>
      <c r="S540" s="149"/>
      <c r="T540" s="149"/>
      <c r="U540" s="149"/>
      <c r="V540" s="149"/>
      <c r="W540" s="149"/>
      <c r="X540" s="149"/>
      <c r="Y540" s="149"/>
      <c r="Z540" s="149"/>
      <c r="AA540" s="149"/>
      <c r="AB540" s="149"/>
      <c r="AC540" s="149"/>
      <c r="AD540" s="149"/>
      <c r="AE540" s="149"/>
      <c r="AF540" s="149"/>
      <c r="AG540" s="149"/>
      <c r="AH540" s="149"/>
      <c r="AI540" s="149"/>
      <c r="AJ540" s="149"/>
      <c r="AK540" s="149"/>
      <c r="AL540" s="149"/>
      <c r="AM540" s="149"/>
      <c r="AN540" s="149"/>
      <c r="AO540" s="149"/>
      <c r="AP540" s="149"/>
      <c r="AQ540" s="149"/>
      <c r="AR540" s="149"/>
      <c r="AS540" s="149"/>
      <c r="AT540" s="149"/>
      <c r="AU540" s="149"/>
      <c r="AV540" s="149"/>
      <c r="AW540" s="149"/>
      <c r="AX540" s="149"/>
      <c r="AY540" s="149"/>
      <c r="AZ540" s="149"/>
      <c r="BA540" s="149"/>
      <c r="BB540" s="149"/>
      <c r="BC540" s="149"/>
      <c r="BD540" s="149"/>
      <c r="BE540" s="149"/>
      <c r="BF540" s="149"/>
      <c r="BG540" s="149"/>
      <c r="BH540" s="149"/>
      <c r="BI540" s="149"/>
      <c r="BJ540" s="149"/>
      <c r="BK540" s="149"/>
      <c r="BL540" s="149"/>
      <c r="BM540" s="149"/>
      <c r="BN540" s="149"/>
      <c r="BO540" s="149"/>
      <c r="BP540" s="149"/>
      <c r="BQ540" s="149"/>
      <c r="BR540" s="149"/>
      <c r="BS540" s="149"/>
      <c r="BT540" s="149"/>
      <c r="BU540" s="149"/>
      <c r="BV540" s="149"/>
      <c r="BW540" s="149"/>
      <c r="BX540" s="149"/>
      <c r="BY540" s="149"/>
      <c r="BZ540" s="149"/>
      <c r="CA540" s="149"/>
      <c r="CB540" s="149"/>
      <c r="CC540" s="149"/>
      <c r="CD540" s="149"/>
      <c r="CE540" s="149"/>
      <c r="CF540" s="149"/>
      <c r="CG540" s="149"/>
      <c r="CH540" s="149"/>
      <c r="CI540" s="149"/>
      <c r="CJ540" s="149"/>
      <c r="CK540" s="149"/>
      <c r="CL540" s="149"/>
      <c r="CM540" s="149"/>
      <c r="CN540" s="149"/>
      <c r="CO540" s="149"/>
      <c r="CP540" s="149"/>
      <c r="CQ540" s="149"/>
      <c r="CR540" s="149"/>
      <c r="CS540" s="149"/>
      <c r="CT540" s="149"/>
      <c r="CU540" s="149"/>
      <c r="CV540" s="149"/>
      <c r="CW540" s="149"/>
      <c r="CX540" s="149"/>
      <c r="CY540" s="149"/>
      <c r="CZ540" s="149"/>
      <c r="DA540" s="149"/>
      <c r="DB540" s="149"/>
      <c r="DC540" s="149"/>
      <c r="DD540" s="149"/>
    </row>
    <row r="541" spans="1:108" x14ac:dyDescent="0.35">
      <c r="A541" s="149"/>
      <c r="E541" s="149"/>
      <c r="F541" s="149"/>
      <c r="G541" s="149"/>
      <c r="H541" s="149"/>
      <c r="I541" s="149"/>
      <c r="J541" s="149"/>
      <c r="K541" s="149"/>
      <c r="L541" s="149"/>
      <c r="M541" s="149"/>
      <c r="N541" s="149"/>
      <c r="O541" s="149"/>
      <c r="P541" s="149"/>
      <c r="Q541" s="149"/>
      <c r="R541" s="149"/>
      <c r="S541" s="149"/>
      <c r="T541" s="149"/>
      <c r="U541" s="149"/>
      <c r="V541" s="149"/>
      <c r="W541" s="149"/>
      <c r="X541" s="149"/>
      <c r="Y541" s="149"/>
      <c r="Z541" s="149"/>
      <c r="AA541" s="149"/>
      <c r="AB541" s="149"/>
      <c r="AC541" s="149"/>
      <c r="AD541" s="149"/>
      <c r="AE541" s="149"/>
      <c r="AF541" s="149"/>
      <c r="AG541" s="149"/>
      <c r="AH541" s="149"/>
      <c r="AI541" s="149"/>
      <c r="AJ541" s="149"/>
      <c r="AK541" s="149"/>
      <c r="AL541" s="149"/>
      <c r="AM541" s="149"/>
      <c r="AN541" s="149"/>
      <c r="AO541" s="149"/>
      <c r="AP541" s="149"/>
      <c r="AQ541" s="149"/>
      <c r="AR541" s="149"/>
      <c r="AS541" s="149"/>
      <c r="AT541" s="149"/>
      <c r="AU541" s="149"/>
      <c r="AV541" s="149"/>
      <c r="AW541" s="149"/>
      <c r="AX541" s="149"/>
      <c r="AY541" s="149"/>
      <c r="AZ541" s="149"/>
      <c r="BA541" s="149"/>
      <c r="BB541" s="149"/>
      <c r="BC541" s="149"/>
      <c r="BD541" s="149"/>
      <c r="BE541" s="149"/>
      <c r="BF541" s="149"/>
      <c r="BG541" s="149"/>
      <c r="BH541" s="149"/>
      <c r="BI541" s="149"/>
      <c r="BJ541" s="149"/>
      <c r="BK541" s="149"/>
      <c r="BL541" s="149"/>
      <c r="BM541" s="149"/>
      <c r="BN541" s="149"/>
      <c r="BO541" s="149"/>
      <c r="BP541" s="149"/>
      <c r="BQ541" s="149"/>
      <c r="BR541" s="149"/>
      <c r="BS541" s="149"/>
      <c r="BT541" s="149"/>
      <c r="BU541" s="149"/>
      <c r="BV541" s="149"/>
      <c r="BW541" s="149"/>
      <c r="BX541" s="149"/>
      <c r="BY541" s="149"/>
      <c r="BZ541" s="149"/>
      <c r="CA541" s="149"/>
      <c r="CB541" s="149"/>
      <c r="CC541" s="149"/>
      <c r="CD541" s="149"/>
      <c r="CE541" s="149"/>
      <c r="CF541" s="149"/>
      <c r="CG541" s="149"/>
      <c r="CH541" s="149"/>
      <c r="CI541" s="149"/>
      <c r="CJ541" s="149"/>
      <c r="CK541" s="149"/>
      <c r="CL541" s="149"/>
      <c r="CM541" s="149"/>
      <c r="CN541" s="149"/>
      <c r="CO541" s="149"/>
      <c r="CP541" s="149"/>
      <c r="CQ541" s="149"/>
      <c r="CR541" s="149"/>
      <c r="CS541" s="149"/>
      <c r="CT541" s="149"/>
      <c r="CU541" s="149"/>
      <c r="CV541" s="149"/>
      <c r="CW541" s="149"/>
      <c r="CX541" s="149"/>
      <c r="CY541" s="149"/>
      <c r="CZ541" s="149"/>
      <c r="DA541" s="149"/>
      <c r="DB541" s="149"/>
      <c r="DC541" s="149"/>
      <c r="DD541" s="149"/>
    </row>
    <row r="542" spans="1:108" x14ac:dyDescent="0.35">
      <c r="A542" s="149"/>
      <c r="E542" s="149"/>
      <c r="F542" s="149"/>
      <c r="G542" s="149"/>
      <c r="H542" s="149"/>
      <c r="I542" s="149"/>
      <c r="J542" s="149"/>
      <c r="K542" s="149"/>
      <c r="L542" s="149"/>
      <c r="M542" s="149"/>
      <c r="N542" s="149"/>
      <c r="O542" s="149"/>
      <c r="P542" s="149"/>
      <c r="Q542" s="149"/>
      <c r="R542" s="149"/>
      <c r="S542" s="149"/>
      <c r="T542" s="149"/>
      <c r="U542" s="149"/>
      <c r="V542" s="149"/>
      <c r="W542" s="149"/>
      <c r="X542" s="149"/>
      <c r="Y542" s="149"/>
      <c r="Z542" s="149"/>
      <c r="AA542" s="149"/>
      <c r="AB542" s="149"/>
      <c r="AC542" s="149"/>
      <c r="AD542" s="149"/>
      <c r="AE542" s="149"/>
      <c r="AF542" s="149"/>
      <c r="AG542" s="149"/>
      <c r="AH542" s="149"/>
      <c r="AI542" s="149"/>
      <c r="AJ542" s="149"/>
      <c r="AK542" s="149"/>
      <c r="AL542" s="149"/>
      <c r="AM542" s="149"/>
      <c r="AN542" s="149"/>
      <c r="AO542" s="149"/>
      <c r="AP542" s="149"/>
      <c r="AQ542" s="149"/>
      <c r="AR542" s="149"/>
      <c r="AS542" s="149"/>
      <c r="AT542" s="149"/>
      <c r="AU542" s="149"/>
      <c r="AV542" s="149"/>
      <c r="AW542" s="149"/>
      <c r="AX542" s="149"/>
      <c r="AY542" s="149"/>
      <c r="AZ542" s="149"/>
      <c r="BA542" s="149"/>
      <c r="BB542" s="149"/>
      <c r="BC542" s="149"/>
      <c r="BD542" s="149"/>
      <c r="BE542" s="149"/>
      <c r="BF542" s="149"/>
      <c r="BG542" s="149"/>
      <c r="BH542" s="149"/>
      <c r="BI542" s="149"/>
      <c r="BJ542" s="149"/>
      <c r="BK542" s="149"/>
      <c r="BL542" s="149"/>
      <c r="BM542" s="149"/>
      <c r="BN542" s="149"/>
      <c r="BO542" s="149"/>
      <c r="BP542" s="149"/>
      <c r="BQ542" s="149"/>
      <c r="BR542" s="149"/>
      <c r="BS542" s="149"/>
      <c r="BT542" s="149"/>
      <c r="BU542" s="149"/>
      <c r="BV542" s="149"/>
      <c r="BW542" s="149"/>
      <c r="BX542" s="149"/>
      <c r="BY542" s="149"/>
      <c r="BZ542" s="149"/>
      <c r="CA542" s="149"/>
      <c r="CB542" s="149"/>
      <c r="CC542" s="149"/>
      <c r="CD542" s="149"/>
      <c r="CE542" s="149"/>
      <c r="CF542" s="149"/>
      <c r="CG542" s="149"/>
      <c r="CH542" s="149"/>
      <c r="CI542" s="149"/>
      <c r="CJ542" s="149"/>
      <c r="CK542" s="149"/>
      <c r="CL542" s="149"/>
      <c r="CM542" s="149"/>
      <c r="CN542" s="149"/>
      <c r="CO542" s="149"/>
      <c r="CP542" s="149"/>
      <c r="CQ542" s="149"/>
      <c r="CR542" s="149"/>
      <c r="CS542" s="149"/>
      <c r="CT542" s="149"/>
      <c r="CU542" s="149"/>
      <c r="CV542" s="149"/>
      <c r="CW542" s="149"/>
      <c r="CX542" s="149"/>
      <c r="CY542" s="149"/>
      <c r="CZ542" s="149"/>
      <c r="DA542" s="149"/>
      <c r="DB542" s="149"/>
      <c r="DC542" s="149"/>
      <c r="DD542" s="149"/>
    </row>
    <row r="543" spans="1:108" x14ac:dyDescent="0.35">
      <c r="A543" s="149"/>
      <c r="E543" s="149"/>
      <c r="F543" s="149"/>
      <c r="G543" s="149"/>
      <c r="H543" s="149"/>
      <c r="I543" s="149"/>
      <c r="J543" s="149"/>
      <c r="K543" s="149"/>
      <c r="L543" s="149"/>
      <c r="M543" s="149"/>
      <c r="N543" s="149"/>
      <c r="O543" s="149"/>
      <c r="P543" s="149"/>
      <c r="Q543" s="149"/>
      <c r="R543" s="149"/>
      <c r="S543" s="149"/>
      <c r="T543" s="149"/>
      <c r="U543" s="149"/>
      <c r="V543" s="149"/>
      <c r="W543" s="149"/>
      <c r="X543" s="149"/>
      <c r="Y543" s="149"/>
      <c r="Z543" s="149"/>
      <c r="AA543" s="149"/>
      <c r="AB543" s="149"/>
      <c r="AC543" s="149"/>
      <c r="AD543" s="149"/>
      <c r="AE543" s="149"/>
      <c r="AF543" s="149"/>
      <c r="AG543" s="149"/>
      <c r="AH543" s="149"/>
      <c r="AI543" s="149"/>
      <c r="AJ543" s="149"/>
      <c r="AK543" s="149"/>
      <c r="AL543" s="149"/>
      <c r="AM543" s="149"/>
      <c r="AN543" s="149"/>
      <c r="AO543" s="149"/>
      <c r="AP543" s="149"/>
      <c r="AQ543" s="149"/>
      <c r="AR543" s="149"/>
      <c r="AS543" s="149"/>
      <c r="AT543" s="149"/>
      <c r="AU543" s="149"/>
      <c r="AV543" s="149"/>
      <c r="AW543" s="149"/>
      <c r="AX543" s="149"/>
      <c r="AY543" s="149"/>
      <c r="AZ543" s="149"/>
      <c r="BA543" s="149"/>
      <c r="BB543" s="149"/>
      <c r="BC543" s="149"/>
      <c r="BD543" s="149"/>
      <c r="BE543" s="149"/>
      <c r="BF543" s="149"/>
      <c r="BG543" s="149"/>
      <c r="BH543" s="149"/>
      <c r="BI543" s="149"/>
      <c r="BJ543" s="149"/>
      <c r="BK543" s="149"/>
      <c r="BL543" s="149"/>
      <c r="BM543" s="149"/>
      <c r="BN543" s="149"/>
      <c r="BO543" s="149"/>
      <c r="BP543" s="149"/>
      <c r="BQ543" s="149"/>
      <c r="BR543" s="149"/>
      <c r="BS543" s="149"/>
      <c r="BT543" s="149"/>
      <c r="BU543" s="149"/>
      <c r="BV543" s="149"/>
      <c r="BW543" s="149"/>
      <c r="BX543" s="149"/>
      <c r="BY543" s="149"/>
      <c r="BZ543" s="149"/>
      <c r="CA543" s="149"/>
      <c r="CB543" s="149"/>
      <c r="CC543" s="149"/>
      <c r="CD543" s="149"/>
      <c r="CE543" s="149"/>
      <c r="CF543" s="149"/>
      <c r="CG543" s="149"/>
      <c r="CH543" s="149"/>
      <c r="CI543" s="149"/>
      <c r="CJ543" s="149"/>
      <c r="CK543" s="149"/>
      <c r="CL543" s="149"/>
      <c r="CM543" s="149"/>
      <c r="CN543" s="149"/>
      <c r="CO543" s="149"/>
      <c r="CP543" s="149"/>
      <c r="CQ543" s="149"/>
      <c r="CR543" s="149"/>
      <c r="CS543" s="149"/>
      <c r="CT543" s="149"/>
      <c r="CU543" s="149"/>
      <c r="CV543" s="149"/>
      <c r="CW543" s="149"/>
      <c r="CX543" s="149"/>
      <c r="CY543" s="149"/>
      <c r="CZ543" s="149"/>
      <c r="DA543" s="149"/>
      <c r="DB543" s="149"/>
      <c r="DC543" s="149"/>
      <c r="DD543" s="149"/>
    </row>
    <row r="544" spans="1:108" x14ac:dyDescent="0.35">
      <c r="A544" s="149"/>
      <c r="E544" s="149"/>
      <c r="F544" s="149"/>
      <c r="G544" s="149"/>
      <c r="H544" s="149"/>
      <c r="I544" s="149"/>
      <c r="J544" s="149"/>
      <c r="K544" s="149"/>
      <c r="L544" s="149"/>
      <c r="M544" s="149"/>
      <c r="N544" s="149"/>
      <c r="O544" s="149"/>
      <c r="P544" s="149"/>
      <c r="Q544" s="149"/>
      <c r="R544" s="149"/>
      <c r="S544" s="149"/>
      <c r="T544" s="149"/>
      <c r="U544" s="149"/>
      <c r="V544" s="149"/>
      <c r="W544" s="149"/>
      <c r="X544" s="149"/>
      <c r="Y544" s="149"/>
      <c r="Z544" s="149"/>
      <c r="AA544" s="149"/>
      <c r="AB544" s="149"/>
      <c r="AC544" s="149"/>
      <c r="AD544" s="149"/>
      <c r="AE544" s="149"/>
      <c r="AF544" s="149"/>
      <c r="AG544" s="149"/>
      <c r="AH544" s="149"/>
      <c r="AI544" s="149"/>
      <c r="AJ544" s="149"/>
      <c r="AK544" s="149"/>
      <c r="AL544" s="149"/>
      <c r="AM544" s="149"/>
      <c r="AN544" s="149"/>
      <c r="AO544" s="149"/>
      <c r="AP544" s="149"/>
      <c r="AQ544" s="149"/>
      <c r="AR544" s="149"/>
      <c r="AS544" s="149"/>
      <c r="AT544" s="149"/>
      <c r="AU544" s="149"/>
      <c r="AV544" s="149"/>
      <c r="AW544" s="149"/>
      <c r="AX544" s="149"/>
      <c r="AY544" s="149"/>
      <c r="AZ544" s="149"/>
      <c r="BA544" s="149"/>
      <c r="BB544" s="149"/>
      <c r="BC544" s="149"/>
      <c r="BD544" s="149"/>
      <c r="BE544" s="149"/>
      <c r="BF544" s="149"/>
      <c r="BG544" s="149"/>
      <c r="BH544" s="149"/>
      <c r="BI544" s="149"/>
      <c r="BJ544" s="149"/>
      <c r="BK544" s="149"/>
      <c r="BL544" s="149"/>
      <c r="BM544" s="149"/>
      <c r="BN544" s="149"/>
      <c r="BO544" s="149"/>
      <c r="BP544" s="149"/>
      <c r="BQ544" s="149"/>
      <c r="BR544" s="149"/>
      <c r="BS544" s="149"/>
      <c r="BT544" s="149"/>
      <c r="BU544" s="149"/>
      <c r="BV544" s="149"/>
      <c r="BW544" s="149"/>
      <c r="BX544" s="149"/>
      <c r="BY544" s="149"/>
      <c r="BZ544" s="149"/>
      <c r="CA544" s="149"/>
      <c r="CB544" s="149"/>
      <c r="CC544" s="149"/>
      <c r="CD544" s="149"/>
      <c r="CE544" s="149"/>
      <c r="CF544" s="149"/>
      <c r="CG544" s="149"/>
      <c r="CH544" s="149"/>
      <c r="CI544" s="149"/>
      <c r="CJ544" s="149"/>
      <c r="CK544" s="149"/>
      <c r="CL544" s="149"/>
      <c r="CM544" s="149"/>
      <c r="CN544" s="149"/>
      <c r="CO544" s="149"/>
      <c r="CP544" s="149"/>
      <c r="CQ544" s="149"/>
      <c r="CR544" s="149"/>
      <c r="CS544" s="149"/>
      <c r="CT544" s="149"/>
      <c r="CU544" s="149"/>
      <c r="CV544" s="149"/>
      <c r="CW544" s="149"/>
      <c r="CX544" s="149"/>
      <c r="CY544" s="149"/>
      <c r="CZ544" s="149"/>
      <c r="DA544" s="149"/>
      <c r="DB544" s="149"/>
      <c r="DC544" s="149"/>
      <c r="DD544" s="149"/>
    </row>
    <row r="545" spans="1:108" x14ac:dyDescent="0.35">
      <c r="A545" s="149"/>
      <c r="E545" s="149"/>
      <c r="F545" s="149"/>
      <c r="G545" s="149"/>
      <c r="H545" s="149"/>
      <c r="I545" s="149"/>
      <c r="J545" s="149"/>
      <c r="K545" s="149"/>
      <c r="L545" s="149"/>
      <c r="M545" s="149"/>
      <c r="N545" s="149"/>
      <c r="O545" s="149"/>
      <c r="P545" s="149"/>
      <c r="Q545" s="149"/>
      <c r="R545" s="149"/>
      <c r="S545" s="149"/>
      <c r="T545" s="149"/>
      <c r="U545" s="149"/>
      <c r="V545" s="149"/>
      <c r="W545" s="149"/>
      <c r="X545" s="149"/>
      <c r="Y545" s="149"/>
      <c r="Z545" s="149"/>
      <c r="AA545" s="149"/>
      <c r="AB545" s="149"/>
      <c r="AC545" s="149"/>
      <c r="AD545" s="149"/>
      <c r="AE545" s="149"/>
      <c r="AF545" s="149"/>
      <c r="AG545" s="149"/>
      <c r="AH545" s="149"/>
      <c r="AI545" s="149"/>
      <c r="AJ545" s="149"/>
      <c r="AK545" s="149"/>
      <c r="AL545" s="149"/>
      <c r="AM545" s="149"/>
      <c r="AN545" s="149"/>
      <c r="AO545" s="149"/>
      <c r="AP545" s="149"/>
      <c r="AQ545" s="149"/>
      <c r="AR545" s="149"/>
      <c r="AS545" s="149"/>
      <c r="AT545" s="149"/>
      <c r="AU545" s="149"/>
      <c r="AV545" s="149"/>
      <c r="AW545" s="149"/>
      <c r="AX545" s="149"/>
      <c r="AY545" s="149"/>
      <c r="AZ545" s="149"/>
      <c r="BA545" s="149"/>
      <c r="BB545" s="149"/>
      <c r="BC545" s="149"/>
      <c r="BD545" s="149"/>
      <c r="BE545" s="149"/>
      <c r="BF545" s="149"/>
      <c r="BG545" s="149"/>
      <c r="BH545" s="149"/>
      <c r="BI545" s="149"/>
      <c r="BJ545" s="149"/>
      <c r="BK545" s="149"/>
      <c r="BL545" s="149"/>
      <c r="BM545" s="149"/>
      <c r="BN545" s="149"/>
      <c r="BO545" s="149"/>
      <c r="BP545" s="149"/>
      <c r="BQ545" s="149"/>
      <c r="BR545" s="149"/>
      <c r="BS545" s="149"/>
      <c r="BT545" s="149"/>
      <c r="BU545" s="149"/>
      <c r="BV545" s="149"/>
      <c r="BW545" s="149"/>
      <c r="BX545" s="149"/>
      <c r="BY545" s="149"/>
      <c r="BZ545" s="149"/>
      <c r="CA545" s="149"/>
      <c r="CB545" s="149"/>
      <c r="CC545" s="149"/>
      <c r="CD545" s="149"/>
      <c r="CE545" s="149"/>
      <c r="CF545" s="149"/>
      <c r="CG545" s="149"/>
      <c r="CH545" s="149"/>
      <c r="CI545" s="149"/>
      <c r="CJ545" s="149"/>
      <c r="CK545" s="149"/>
      <c r="CL545" s="149"/>
      <c r="CM545" s="149"/>
      <c r="CN545" s="149"/>
      <c r="CO545" s="149"/>
      <c r="CP545" s="149"/>
      <c r="CQ545" s="149"/>
      <c r="CR545" s="149"/>
      <c r="CS545" s="149"/>
      <c r="CT545" s="149"/>
      <c r="CU545" s="149"/>
      <c r="CV545" s="149"/>
      <c r="CW545" s="149"/>
      <c r="CX545" s="149"/>
      <c r="CY545" s="149"/>
      <c r="CZ545" s="149"/>
      <c r="DA545" s="149"/>
      <c r="DB545" s="149"/>
      <c r="DC545" s="149"/>
      <c r="DD545" s="149"/>
    </row>
    <row r="546" spans="1:108" x14ac:dyDescent="0.35">
      <c r="A546" s="149"/>
      <c r="E546" s="149"/>
      <c r="F546" s="149"/>
      <c r="G546" s="149"/>
      <c r="H546" s="149"/>
      <c r="I546" s="149"/>
      <c r="J546" s="149"/>
      <c r="K546" s="149"/>
      <c r="L546" s="149"/>
      <c r="M546" s="149"/>
      <c r="N546" s="149"/>
      <c r="O546" s="149"/>
      <c r="P546" s="149"/>
      <c r="Q546" s="149"/>
      <c r="R546" s="149"/>
      <c r="S546" s="149"/>
      <c r="T546" s="149"/>
      <c r="U546" s="149"/>
      <c r="V546" s="149"/>
      <c r="W546" s="149"/>
      <c r="X546" s="149"/>
      <c r="Y546" s="149"/>
      <c r="Z546" s="149"/>
      <c r="AA546" s="149"/>
      <c r="AB546" s="149"/>
      <c r="AC546" s="149"/>
      <c r="AD546" s="149"/>
      <c r="AE546" s="149"/>
      <c r="AF546" s="149"/>
      <c r="AG546" s="149"/>
      <c r="AH546" s="149"/>
      <c r="AI546" s="149"/>
      <c r="AJ546" s="149"/>
      <c r="AK546" s="149"/>
      <c r="AL546" s="149"/>
      <c r="AM546" s="149"/>
      <c r="AN546" s="149"/>
      <c r="AO546" s="149"/>
      <c r="AP546" s="149"/>
      <c r="AQ546" s="149"/>
      <c r="AR546" s="149"/>
      <c r="AS546" s="149"/>
      <c r="AT546" s="149"/>
      <c r="AU546" s="149"/>
      <c r="AV546" s="149"/>
      <c r="AW546" s="149"/>
      <c r="AX546" s="149"/>
      <c r="AY546" s="149"/>
      <c r="AZ546" s="149"/>
      <c r="BA546" s="149"/>
      <c r="BB546" s="149"/>
      <c r="BC546" s="149"/>
      <c r="BD546" s="149"/>
      <c r="BE546" s="149"/>
      <c r="BF546" s="149"/>
      <c r="BG546" s="149"/>
      <c r="BH546" s="149"/>
      <c r="BI546" s="149"/>
      <c r="BJ546" s="149"/>
      <c r="BK546" s="149"/>
      <c r="BL546" s="149"/>
      <c r="BM546" s="149"/>
      <c r="BN546" s="149"/>
      <c r="BO546" s="149"/>
      <c r="BP546" s="149"/>
      <c r="BQ546" s="149"/>
      <c r="BR546" s="149"/>
      <c r="BS546" s="149"/>
      <c r="BT546" s="149"/>
      <c r="BU546" s="149"/>
      <c r="BV546" s="149"/>
      <c r="BW546" s="149"/>
      <c r="BX546" s="149"/>
      <c r="BY546" s="149"/>
      <c r="BZ546" s="149"/>
      <c r="CA546" s="149"/>
      <c r="CB546" s="149"/>
      <c r="CC546" s="149"/>
      <c r="CD546" s="149"/>
      <c r="CE546" s="149"/>
      <c r="CF546" s="149"/>
      <c r="CG546" s="149"/>
      <c r="CH546" s="149"/>
      <c r="CI546" s="149"/>
      <c r="CJ546" s="149"/>
      <c r="CK546" s="149"/>
      <c r="CL546" s="149"/>
      <c r="CM546" s="149"/>
      <c r="CN546" s="149"/>
      <c r="CO546" s="149"/>
      <c r="CP546" s="149"/>
      <c r="CQ546" s="149"/>
      <c r="CR546" s="149"/>
      <c r="CS546" s="149"/>
      <c r="CT546" s="149"/>
      <c r="CU546" s="149"/>
      <c r="CV546" s="149"/>
      <c r="CW546" s="149"/>
      <c r="CX546" s="149"/>
      <c r="CY546" s="149"/>
      <c r="CZ546" s="149"/>
      <c r="DA546" s="149"/>
      <c r="DB546" s="149"/>
      <c r="DC546" s="149"/>
      <c r="DD546" s="149"/>
    </row>
    <row r="547" spans="1:108" x14ac:dyDescent="0.35">
      <c r="A547" s="149"/>
      <c r="E547" s="149"/>
      <c r="F547" s="149"/>
      <c r="G547" s="149"/>
      <c r="H547" s="149"/>
      <c r="I547" s="149"/>
      <c r="J547" s="149"/>
      <c r="K547" s="149"/>
      <c r="L547" s="149"/>
      <c r="M547" s="149"/>
      <c r="N547" s="149"/>
      <c r="O547" s="149"/>
      <c r="P547" s="149"/>
      <c r="Q547" s="149"/>
      <c r="R547" s="149"/>
      <c r="S547" s="149"/>
      <c r="T547" s="149"/>
      <c r="U547" s="149"/>
      <c r="V547" s="149"/>
      <c r="W547" s="149"/>
      <c r="X547" s="149"/>
      <c r="Y547" s="149"/>
      <c r="Z547" s="149"/>
      <c r="AA547" s="149"/>
      <c r="AB547" s="149"/>
      <c r="AC547" s="149"/>
      <c r="AD547" s="149"/>
      <c r="AE547" s="149"/>
      <c r="AF547" s="149"/>
      <c r="AG547" s="149"/>
      <c r="AH547" s="149"/>
      <c r="AI547" s="149"/>
      <c r="AJ547" s="149"/>
      <c r="AK547" s="149"/>
      <c r="AL547" s="149"/>
      <c r="AM547" s="149"/>
      <c r="AN547" s="149"/>
      <c r="AO547" s="149"/>
      <c r="AP547" s="149"/>
      <c r="AQ547" s="149"/>
      <c r="AR547" s="149"/>
      <c r="AS547" s="149"/>
      <c r="AT547" s="149"/>
      <c r="AU547" s="149"/>
      <c r="AV547" s="149"/>
      <c r="AW547" s="149"/>
      <c r="AX547" s="149"/>
      <c r="AY547" s="149"/>
      <c r="AZ547" s="149"/>
      <c r="BA547" s="149"/>
      <c r="BB547" s="149"/>
      <c r="BC547" s="149"/>
      <c r="BD547" s="149"/>
      <c r="BE547" s="149"/>
      <c r="BF547" s="149"/>
      <c r="BG547" s="149"/>
      <c r="BH547" s="149"/>
      <c r="BI547" s="149"/>
      <c r="BJ547" s="149"/>
      <c r="BK547" s="149"/>
      <c r="BL547" s="149"/>
      <c r="BM547" s="149"/>
      <c r="BN547" s="149"/>
      <c r="BO547" s="149"/>
      <c r="BP547" s="149"/>
      <c r="BQ547" s="149"/>
      <c r="BR547" s="149"/>
      <c r="BS547" s="149"/>
      <c r="BT547" s="149"/>
      <c r="BU547" s="149"/>
      <c r="BV547" s="149"/>
      <c r="BW547" s="149"/>
      <c r="BX547" s="149"/>
      <c r="BY547" s="149"/>
      <c r="BZ547" s="149"/>
      <c r="CA547" s="149"/>
      <c r="CB547" s="149"/>
      <c r="CC547" s="149"/>
      <c r="CD547" s="149"/>
      <c r="CE547" s="149"/>
      <c r="CF547" s="149"/>
      <c r="CG547" s="149"/>
      <c r="CH547" s="149"/>
      <c r="CI547" s="149"/>
      <c r="CJ547" s="149"/>
      <c r="CK547" s="149"/>
      <c r="CL547" s="149"/>
      <c r="CM547" s="149"/>
      <c r="CN547" s="149"/>
      <c r="CO547" s="149"/>
      <c r="CP547" s="149"/>
      <c r="CQ547" s="149"/>
      <c r="CR547" s="149"/>
      <c r="CS547" s="149"/>
      <c r="CT547" s="149"/>
      <c r="CU547" s="149"/>
      <c r="CV547" s="149"/>
      <c r="CW547" s="149"/>
      <c r="CX547" s="149"/>
      <c r="CY547" s="149"/>
      <c r="CZ547" s="149"/>
      <c r="DA547" s="149"/>
      <c r="DB547" s="149"/>
      <c r="DC547" s="149"/>
      <c r="DD547" s="149"/>
    </row>
    <row r="548" spans="1:108" x14ac:dyDescent="0.35">
      <c r="A548" s="149"/>
      <c r="E548" s="149"/>
      <c r="F548" s="149"/>
      <c r="G548" s="149"/>
      <c r="H548" s="149"/>
      <c r="I548" s="149"/>
      <c r="J548" s="149"/>
      <c r="K548" s="149"/>
      <c r="L548" s="149"/>
      <c r="M548" s="149"/>
      <c r="N548" s="149"/>
      <c r="O548" s="149"/>
      <c r="P548" s="149"/>
      <c r="Q548" s="149"/>
      <c r="R548" s="149"/>
      <c r="S548" s="149"/>
      <c r="T548" s="149"/>
      <c r="U548" s="149"/>
      <c r="V548" s="149"/>
      <c r="W548" s="149"/>
      <c r="X548" s="149"/>
      <c r="Y548" s="149"/>
      <c r="Z548" s="149"/>
      <c r="AA548" s="149"/>
      <c r="AB548" s="149"/>
      <c r="AC548" s="149"/>
      <c r="AD548" s="149"/>
      <c r="AE548" s="149"/>
      <c r="AF548" s="149"/>
      <c r="AG548" s="149"/>
      <c r="AH548" s="149"/>
      <c r="AI548" s="149"/>
      <c r="AJ548" s="149"/>
      <c r="AK548" s="149"/>
      <c r="AL548" s="149"/>
      <c r="AM548" s="149"/>
      <c r="AN548" s="149"/>
      <c r="AO548" s="149"/>
      <c r="AP548" s="149"/>
      <c r="AQ548" s="149"/>
      <c r="AR548" s="149"/>
      <c r="AS548" s="149"/>
      <c r="AT548" s="149"/>
      <c r="AU548" s="149"/>
      <c r="AV548" s="149"/>
      <c r="AW548" s="149"/>
      <c r="AX548" s="149"/>
      <c r="AY548" s="149"/>
      <c r="AZ548" s="149"/>
      <c r="BA548" s="149"/>
      <c r="BB548" s="149"/>
      <c r="BC548" s="149"/>
      <c r="BD548" s="149"/>
      <c r="BE548" s="149"/>
      <c r="BF548" s="149"/>
      <c r="BG548" s="149"/>
      <c r="BH548" s="149"/>
      <c r="BI548" s="149"/>
      <c r="BJ548" s="149"/>
      <c r="BK548" s="149"/>
      <c r="BL548" s="149"/>
      <c r="BM548" s="149"/>
      <c r="BN548" s="149"/>
      <c r="BO548" s="149"/>
      <c r="BP548" s="149"/>
      <c r="BQ548" s="149"/>
      <c r="BR548" s="149"/>
      <c r="BS548" s="149"/>
      <c r="BT548" s="149"/>
      <c r="BU548" s="149"/>
      <c r="BV548" s="149"/>
      <c r="BW548" s="149"/>
      <c r="BX548" s="149"/>
      <c r="BY548" s="149"/>
      <c r="BZ548" s="149"/>
      <c r="CA548" s="149"/>
      <c r="CB548" s="149"/>
      <c r="CC548" s="149"/>
      <c r="CD548" s="149"/>
      <c r="CE548" s="149"/>
      <c r="CF548" s="149"/>
      <c r="CG548" s="149"/>
      <c r="CH548" s="149"/>
      <c r="CI548" s="149"/>
      <c r="CJ548" s="149"/>
      <c r="CK548" s="149"/>
      <c r="CL548" s="149"/>
      <c r="CM548" s="149"/>
      <c r="CN548" s="149"/>
      <c r="CO548" s="149"/>
      <c r="CP548" s="149"/>
      <c r="CQ548" s="149"/>
      <c r="CR548" s="149"/>
      <c r="CS548" s="149"/>
      <c r="CT548" s="149"/>
      <c r="CU548" s="149"/>
      <c r="CV548" s="149"/>
      <c r="CW548" s="149"/>
      <c r="CX548" s="149"/>
      <c r="CY548" s="149"/>
      <c r="CZ548" s="149"/>
      <c r="DA548" s="149"/>
      <c r="DB548" s="149"/>
      <c r="DC548" s="149"/>
      <c r="DD548" s="149"/>
    </row>
    <row r="549" spans="1:108" x14ac:dyDescent="0.35">
      <c r="A549" s="149"/>
      <c r="E549" s="149"/>
      <c r="F549" s="149"/>
      <c r="G549" s="149"/>
      <c r="H549" s="149"/>
      <c r="I549" s="149"/>
      <c r="J549" s="149"/>
      <c r="K549" s="149"/>
      <c r="L549" s="149"/>
      <c r="M549" s="149"/>
      <c r="N549" s="149"/>
      <c r="O549" s="149"/>
      <c r="P549" s="149"/>
      <c r="Q549" s="149"/>
      <c r="R549" s="149"/>
      <c r="S549" s="149"/>
      <c r="T549" s="149"/>
      <c r="U549" s="149"/>
      <c r="V549" s="149"/>
      <c r="W549" s="149"/>
      <c r="X549" s="149"/>
      <c r="Y549" s="149"/>
      <c r="Z549" s="149"/>
      <c r="AA549" s="149"/>
      <c r="AB549" s="149"/>
      <c r="AC549" s="149"/>
      <c r="AD549" s="149"/>
      <c r="AE549" s="149"/>
      <c r="AF549" s="149"/>
      <c r="AG549" s="149"/>
      <c r="AH549" s="149"/>
      <c r="AI549" s="149"/>
      <c r="AJ549" s="149"/>
      <c r="AK549" s="149"/>
      <c r="AL549" s="149"/>
      <c r="AM549" s="149"/>
      <c r="AN549" s="149"/>
      <c r="AO549" s="149"/>
      <c r="AP549" s="149"/>
      <c r="AQ549" s="149"/>
      <c r="AR549" s="149"/>
      <c r="AS549" s="149"/>
      <c r="AT549" s="149"/>
      <c r="AU549" s="149"/>
      <c r="AV549" s="149"/>
      <c r="AW549" s="149"/>
      <c r="AX549" s="149"/>
      <c r="AY549" s="149"/>
      <c r="AZ549" s="149"/>
      <c r="BA549" s="149"/>
      <c r="BB549" s="149"/>
      <c r="BC549" s="149"/>
      <c r="BD549" s="149"/>
      <c r="BE549" s="149"/>
      <c r="BF549" s="149"/>
      <c r="BG549" s="149"/>
      <c r="BH549" s="149"/>
      <c r="BI549" s="149"/>
      <c r="BJ549" s="149"/>
      <c r="BK549" s="149"/>
      <c r="BL549" s="149"/>
      <c r="BM549" s="149"/>
      <c r="BN549" s="149"/>
      <c r="BO549" s="149"/>
      <c r="BP549" s="149"/>
      <c r="BQ549" s="149"/>
      <c r="BR549" s="149"/>
      <c r="BS549" s="149"/>
      <c r="BT549" s="149"/>
      <c r="BU549" s="149"/>
      <c r="BV549" s="149"/>
      <c r="BW549" s="149"/>
      <c r="BX549" s="149"/>
      <c r="BY549" s="149"/>
      <c r="BZ549" s="149"/>
      <c r="CA549" s="149"/>
      <c r="CB549" s="149"/>
      <c r="CC549" s="149"/>
      <c r="CD549" s="149"/>
      <c r="CE549" s="149"/>
      <c r="CF549" s="149"/>
      <c r="CG549" s="149"/>
      <c r="CH549" s="149"/>
      <c r="CI549" s="149"/>
      <c r="CJ549" s="149"/>
      <c r="CK549" s="149"/>
      <c r="CL549" s="149"/>
      <c r="CM549" s="149"/>
      <c r="CN549" s="149"/>
      <c r="CO549" s="149"/>
      <c r="CP549" s="149"/>
      <c r="CQ549" s="149"/>
      <c r="CR549" s="149"/>
      <c r="CS549" s="149"/>
      <c r="CT549" s="149"/>
      <c r="CU549" s="149"/>
      <c r="CV549" s="149"/>
      <c r="CW549" s="149"/>
      <c r="CX549" s="149"/>
      <c r="CY549" s="149"/>
      <c r="CZ549" s="149"/>
      <c r="DA549" s="149"/>
      <c r="DB549" s="149"/>
      <c r="DC549" s="149"/>
      <c r="DD549" s="149"/>
    </row>
    <row r="550" spans="1:108" x14ac:dyDescent="0.35">
      <c r="A550" s="149"/>
      <c r="E550" s="149"/>
      <c r="F550" s="149"/>
      <c r="G550" s="149"/>
      <c r="H550" s="149"/>
      <c r="I550" s="149"/>
      <c r="J550" s="149"/>
      <c r="K550" s="149"/>
      <c r="L550" s="149"/>
      <c r="M550" s="149"/>
      <c r="N550" s="149"/>
      <c r="O550" s="149"/>
      <c r="P550" s="149"/>
      <c r="Q550" s="149"/>
      <c r="R550" s="149"/>
      <c r="S550" s="149"/>
      <c r="T550" s="149"/>
      <c r="U550" s="149"/>
      <c r="V550" s="149"/>
      <c r="W550" s="149"/>
      <c r="X550" s="149"/>
      <c r="Y550" s="149"/>
      <c r="Z550" s="149"/>
      <c r="AA550" s="149"/>
      <c r="AB550" s="149"/>
      <c r="AC550" s="149"/>
      <c r="AD550" s="149"/>
      <c r="AE550" s="149"/>
      <c r="AF550" s="149"/>
      <c r="AG550" s="149"/>
      <c r="AH550" s="149"/>
      <c r="AI550" s="149"/>
      <c r="AJ550" s="149"/>
      <c r="AK550" s="149"/>
      <c r="AL550" s="149"/>
      <c r="AM550" s="149"/>
      <c r="AN550" s="149"/>
      <c r="AO550" s="149"/>
      <c r="AP550" s="149"/>
      <c r="AQ550" s="149"/>
      <c r="AR550" s="149"/>
      <c r="AS550" s="149"/>
      <c r="AT550" s="149"/>
      <c r="AU550" s="149"/>
      <c r="AV550" s="149"/>
      <c r="AW550" s="149"/>
      <c r="AX550" s="149"/>
      <c r="AY550" s="149"/>
      <c r="AZ550" s="149"/>
      <c r="BA550" s="149"/>
      <c r="BB550" s="149"/>
      <c r="BC550" s="149"/>
      <c r="BD550" s="149"/>
      <c r="BE550" s="149"/>
      <c r="BF550" s="149"/>
      <c r="BG550" s="149"/>
      <c r="BH550" s="149"/>
      <c r="BI550" s="149"/>
      <c r="BJ550" s="149"/>
      <c r="BK550" s="149"/>
      <c r="BL550" s="149"/>
      <c r="BM550" s="149"/>
      <c r="BN550" s="149"/>
      <c r="BO550" s="149"/>
      <c r="BP550" s="149"/>
      <c r="BQ550" s="149"/>
      <c r="BR550" s="149"/>
      <c r="BS550" s="149"/>
      <c r="BT550" s="149"/>
      <c r="BU550" s="149"/>
      <c r="BV550" s="149"/>
      <c r="BW550" s="149"/>
      <c r="BX550" s="149"/>
      <c r="BY550" s="149"/>
      <c r="BZ550" s="149"/>
      <c r="CA550" s="149"/>
      <c r="CB550" s="149"/>
      <c r="CC550" s="149"/>
      <c r="CD550" s="149"/>
      <c r="CE550" s="149"/>
      <c r="CF550" s="149"/>
      <c r="CG550" s="149"/>
      <c r="CH550" s="149"/>
      <c r="CI550" s="149"/>
      <c r="CJ550" s="149"/>
      <c r="CK550" s="149"/>
      <c r="CL550" s="149"/>
      <c r="CM550" s="149"/>
      <c r="CN550" s="149"/>
      <c r="CO550" s="149"/>
      <c r="CP550" s="149"/>
      <c r="CQ550" s="149"/>
      <c r="CR550" s="149"/>
      <c r="CS550" s="149"/>
      <c r="CT550" s="149"/>
      <c r="CU550" s="149"/>
      <c r="CV550" s="149"/>
      <c r="CW550" s="149"/>
      <c r="CX550" s="149"/>
      <c r="CY550" s="149"/>
      <c r="CZ550" s="149"/>
      <c r="DA550" s="149"/>
      <c r="DB550" s="149"/>
      <c r="DC550" s="149"/>
      <c r="DD550" s="149"/>
    </row>
    <row r="551" spans="1:108" x14ac:dyDescent="0.35">
      <c r="A551" s="149"/>
      <c r="E551" s="149"/>
      <c r="F551" s="149"/>
      <c r="G551" s="149"/>
      <c r="H551" s="149"/>
      <c r="I551" s="149"/>
      <c r="J551" s="149"/>
      <c r="K551" s="149"/>
      <c r="L551" s="149"/>
      <c r="M551" s="149"/>
      <c r="N551" s="149"/>
      <c r="O551" s="149"/>
      <c r="P551" s="149"/>
      <c r="Q551" s="149"/>
      <c r="R551" s="149"/>
      <c r="S551" s="149"/>
      <c r="T551" s="149"/>
      <c r="U551" s="149"/>
      <c r="V551" s="149"/>
      <c r="W551" s="149"/>
      <c r="X551" s="149"/>
      <c r="Y551" s="149"/>
      <c r="Z551" s="149"/>
      <c r="AA551" s="149"/>
      <c r="AB551" s="149"/>
      <c r="AC551" s="149"/>
      <c r="AD551" s="149"/>
      <c r="AE551" s="149"/>
      <c r="AF551" s="149"/>
      <c r="AG551" s="149"/>
      <c r="AH551" s="149"/>
      <c r="AI551" s="149"/>
      <c r="AJ551" s="149"/>
      <c r="AK551" s="149"/>
      <c r="AL551" s="149"/>
      <c r="AM551" s="149"/>
      <c r="AN551" s="149"/>
      <c r="AO551" s="149"/>
      <c r="AP551" s="149"/>
      <c r="AQ551" s="149"/>
      <c r="AR551" s="149"/>
      <c r="AS551" s="149"/>
      <c r="AT551" s="149"/>
      <c r="AU551" s="149"/>
      <c r="AV551" s="149"/>
      <c r="AW551" s="149"/>
      <c r="AX551" s="149"/>
      <c r="AY551" s="149"/>
      <c r="AZ551" s="149"/>
      <c r="BA551" s="149"/>
      <c r="BB551" s="149"/>
      <c r="BC551" s="149"/>
      <c r="BD551" s="149"/>
      <c r="BE551" s="149"/>
      <c r="BF551" s="149"/>
      <c r="BG551" s="149"/>
      <c r="BH551" s="149"/>
      <c r="BI551" s="149"/>
      <c r="BJ551" s="149"/>
      <c r="BK551" s="149"/>
      <c r="BL551" s="149"/>
      <c r="BM551" s="149"/>
      <c r="BN551" s="149"/>
      <c r="BO551" s="149"/>
      <c r="BP551" s="149"/>
      <c r="BQ551" s="149"/>
      <c r="BR551" s="149"/>
      <c r="BS551" s="149"/>
      <c r="BT551" s="149"/>
      <c r="BU551" s="149"/>
      <c r="BV551" s="149"/>
      <c r="BW551" s="149"/>
      <c r="BX551" s="149"/>
      <c r="BY551" s="149"/>
      <c r="BZ551" s="149"/>
      <c r="CA551" s="149"/>
      <c r="CB551" s="149"/>
      <c r="CC551" s="149"/>
      <c r="CD551" s="149"/>
      <c r="CE551" s="149"/>
      <c r="CF551" s="149"/>
      <c r="CG551" s="149"/>
      <c r="CH551" s="149"/>
      <c r="CI551" s="149"/>
      <c r="CJ551" s="149"/>
      <c r="CK551" s="149"/>
      <c r="CL551" s="149"/>
      <c r="CM551" s="149"/>
      <c r="CN551" s="149"/>
      <c r="CO551" s="149"/>
      <c r="CP551" s="149"/>
      <c r="CQ551" s="149"/>
      <c r="CR551" s="149"/>
      <c r="CS551" s="149"/>
      <c r="CT551" s="149"/>
      <c r="CU551" s="149"/>
      <c r="CV551" s="149"/>
      <c r="CW551" s="149"/>
      <c r="CX551" s="149"/>
      <c r="CY551" s="149"/>
      <c r="CZ551" s="149"/>
      <c r="DA551" s="149"/>
      <c r="DB551" s="149"/>
      <c r="DC551" s="149"/>
      <c r="DD551" s="149"/>
    </row>
    <row r="552" spans="1:108" x14ac:dyDescent="0.35">
      <c r="A552" s="149"/>
      <c r="E552" s="149"/>
      <c r="F552" s="149"/>
      <c r="G552" s="149"/>
      <c r="H552" s="149"/>
      <c r="I552" s="149"/>
      <c r="J552" s="149"/>
      <c r="K552" s="149"/>
      <c r="L552" s="149"/>
      <c r="M552" s="149"/>
      <c r="N552" s="149"/>
      <c r="O552" s="149"/>
      <c r="P552" s="149"/>
      <c r="Q552" s="149"/>
      <c r="R552" s="149"/>
      <c r="S552" s="149"/>
      <c r="T552" s="149"/>
      <c r="U552" s="149"/>
      <c r="V552" s="149"/>
      <c r="W552" s="149"/>
      <c r="X552" s="149"/>
      <c r="Y552" s="149"/>
      <c r="Z552" s="149"/>
      <c r="AA552" s="149"/>
      <c r="AB552" s="149"/>
      <c r="AC552" s="149"/>
      <c r="AD552" s="149"/>
      <c r="AE552" s="149"/>
      <c r="AF552" s="149"/>
      <c r="AG552" s="149"/>
      <c r="AH552" s="149"/>
      <c r="AI552" s="149"/>
      <c r="AJ552" s="149"/>
      <c r="AK552" s="149"/>
      <c r="AL552" s="149"/>
      <c r="AM552" s="149"/>
      <c r="AN552" s="149"/>
      <c r="AO552" s="149"/>
      <c r="AP552" s="149"/>
      <c r="AQ552" s="149"/>
      <c r="AR552" s="149"/>
      <c r="AS552" s="149"/>
      <c r="AT552" s="149"/>
      <c r="AU552" s="149"/>
      <c r="AV552" s="149"/>
      <c r="AW552" s="149"/>
      <c r="AX552" s="149"/>
      <c r="AY552" s="149"/>
      <c r="AZ552" s="149"/>
      <c r="BA552" s="149"/>
      <c r="BB552" s="149"/>
      <c r="BC552" s="149"/>
      <c r="BD552" s="149"/>
      <c r="BE552" s="149"/>
      <c r="BF552" s="149"/>
      <c r="BG552" s="149"/>
      <c r="BH552" s="149"/>
      <c r="BI552" s="149"/>
      <c r="BJ552" s="149"/>
      <c r="BK552" s="149"/>
      <c r="BL552" s="149"/>
      <c r="BM552" s="149"/>
      <c r="BN552" s="149"/>
      <c r="BO552" s="149"/>
      <c r="BP552" s="149"/>
      <c r="BQ552" s="149"/>
      <c r="BR552" s="149"/>
      <c r="BS552" s="149"/>
      <c r="BT552" s="149"/>
      <c r="BU552" s="149"/>
      <c r="BV552" s="149"/>
      <c r="BW552" s="149"/>
      <c r="BX552" s="149"/>
      <c r="BY552" s="149"/>
      <c r="BZ552" s="149"/>
      <c r="CA552" s="149"/>
      <c r="CB552" s="149"/>
      <c r="CC552" s="149"/>
      <c r="CD552" s="149"/>
      <c r="CE552" s="149"/>
      <c r="CF552" s="149"/>
      <c r="CG552" s="149"/>
      <c r="CH552" s="149"/>
      <c r="CI552" s="149"/>
      <c r="CJ552" s="149"/>
      <c r="CK552" s="149"/>
      <c r="CL552" s="149"/>
      <c r="CM552" s="149"/>
      <c r="CN552" s="149"/>
      <c r="CO552" s="149"/>
      <c r="CP552" s="149"/>
      <c r="CQ552" s="149"/>
      <c r="CR552" s="149"/>
      <c r="CS552" s="149"/>
      <c r="CT552" s="149"/>
      <c r="CU552" s="149"/>
      <c r="CV552" s="149"/>
      <c r="CW552" s="149"/>
      <c r="CX552" s="149"/>
      <c r="CY552" s="149"/>
      <c r="CZ552" s="149"/>
      <c r="DA552" s="149"/>
      <c r="DB552" s="149"/>
      <c r="DC552" s="149"/>
      <c r="DD552" s="149"/>
    </row>
    <row r="553" spans="1:108" x14ac:dyDescent="0.35">
      <c r="A553" s="149"/>
      <c r="E553" s="149"/>
      <c r="F553" s="149"/>
      <c r="G553" s="149"/>
      <c r="H553" s="149"/>
      <c r="I553" s="149"/>
      <c r="J553" s="149"/>
      <c r="K553" s="149"/>
      <c r="L553" s="149"/>
      <c r="M553" s="149"/>
      <c r="N553" s="149"/>
      <c r="O553" s="149"/>
      <c r="P553" s="149"/>
      <c r="Q553" s="149"/>
      <c r="R553" s="149"/>
      <c r="S553" s="149"/>
      <c r="T553" s="149"/>
      <c r="U553" s="149"/>
      <c r="V553" s="149"/>
      <c r="W553" s="149"/>
      <c r="X553" s="149"/>
      <c r="Y553" s="149"/>
      <c r="Z553" s="149"/>
      <c r="AA553" s="149"/>
      <c r="AB553" s="149"/>
      <c r="AC553" s="149"/>
      <c r="AD553" s="149"/>
      <c r="AE553" s="149"/>
      <c r="AF553" s="149"/>
      <c r="AG553" s="149"/>
      <c r="AH553" s="149"/>
      <c r="AI553" s="149"/>
      <c r="AJ553" s="149"/>
      <c r="AK553" s="149"/>
      <c r="AL553" s="149"/>
      <c r="AM553" s="149"/>
      <c r="AN553" s="149"/>
      <c r="AO553" s="149"/>
      <c r="AP553" s="149"/>
      <c r="AQ553" s="149"/>
      <c r="AR553" s="149"/>
      <c r="AS553" s="149"/>
      <c r="AT553" s="149"/>
      <c r="AU553" s="149"/>
      <c r="AV553" s="149"/>
      <c r="AW553" s="149"/>
      <c r="AX553" s="149"/>
      <c r="AY553" s="149"/>
      <c r="AZ553" s="149"/>
      <c r="BA553" s="149"/>
      <c r="BB553" s="149"/>
      <c r="BC553" s="149"/>
      <c r="BD553" s="149"/>
      <c r="BE553" s="149"/>
      <c r="BF553" s="149"/>
      <c r="BG553" s="149"/>
      <c r="BH553" s="149"/>
      <c r="BI553" s="149"/>
      <c r="BJ553" s="149"/>
      <c r="BK553" s="149"/>
      <c r="BL553" s="149"/>
      <c r="BM553" s="149"/>
      <c r="BN553" s="149"/>
      <c r="BO553" s="149"/>
      <c r="BP553" s="149"/>
      <c r="BQ553" s="149"/>
      <c r="BR553" s="149"/>
      <c r="BS553" s="149"/>
      <c r="BT553" s="149"/>
      <c r="BU553" s="149"/>
      <c r="BV553" s="149"/>
      <c r="BW553" s="149"/>
      <c r="BX553" s="149"/>
      <c r="BY553" s="149"/>
      <c r="BZ553" s="149"/>
      <c r="CA553" s="149"/>
      <c r="CB553" s="149"/>
      <c r="CC553" s="149"/>
      <c r="CD553" s="149"/>
      <c r="CE553" s="149"/>
      <c r="CF553" s="149"/>
      <c r="CG553" s="149"/>
      <c r="CH553" s="149"/>
      <c r="CI553" s="149"/>
      <c r="CJ553" s="149"/>
      <c r="CK553" s="149"/>
      <c r="CL553" s="149"/>
      <c r="CM553" s="149"/>
      <c r="CN553" s="149"/>
      <c r="CO553" s="149"/>
      <c r="CP553" s="149"/>
      <c r="CQ553" s="149"/>
      <c r="CR553" s="149"/>
      <c r="CS553" s="149"/>
      <c r="CT553" s="149"/>
      <c r="CU553" s="149"/>
      <c r="CV553" s="149"/>
      <c r="CW553" s="149"/>
      <c r="CX553" s="149"/>
      <c r="CY553" s="149"/>
      <c r="CZ553" s="149"/>
      <c r="DA553" s="149"/>
      <c r="DB553" s="149"/>
      <c r="DC553" s="149"/>
      <c r="DD553" s="149"/>
    </row>
    <row r="554" spans="1:108" x14ac:dyDescent="0.35">
      <c r="A554" s="149"/>
      <c r="E554" s="149"/>
      <c r="F554" s="149"/>
      <c r="G554" s="149"/>
      <c r="H554" s="149"/>
      <c r="I554" s="149"/>
      <c r="J554" s="149"/>
      <c r="K554" s="149"/>
      <c r="L554" s="149"/>
      <c r="M554" s="149"/>
      <c r="N554" s="149"/>
      <c r="O554" s="149"/>
      <c r="P554" s="149"/>
      <c r="Q554" s="149"/>
      <c r="R554" s="149"/>
      <c r="S554" s="149"/>
      <c r="T554" s="149"/>
      <c r="U554" s="149"/>
      <c r="V554" s="149"/>
      <c r="W554" s="149"/>
      <c r="X554" s="149"/>
      <c r="Y554" s="149"/>
      <c r="Z554" s="149"/>
      <c r="AA554" s="149"/>
      <c r="AB554" s="149"/>
      <c r="AC554" s="149"/>
      <c r="AD554" s="149"/>
      <c r="AE554" s="149"/>
      <c r="AF554" s="149"/>
      <c r="AG554" s="149"/>
      <c r="AH554" s="149"/>
      <c r="AI554" s="149"/>
      <c r="AJ554" s="149"/>
      <c r="AK554" s="149"/>
      <c r="AL554" s="149"/>
      <c r="AM554" s="149"/>
      <c r="AN554" s="149"/>
      <c r="AO554" s="149"/>
      <c r="AP554" s="149"/>
      <c r="AQ554" s="149"/>
      <c r="AR554" s="149"/>
      <c r="AS554" s="149"/>
      <c r="AT554" s="149"/>
      <c r="AU554" s="149"/>
      <c r="AV554" s="149"/>
      <c r="AW554" s="149"/>
      <c r="AX554" s="149"/>
      <c r="AY554" s="149"/>
      <c r="AZ554" s="149"/>
      <c r="BA554" s="149"/>
      <c r="BB554" s="149"/>
      <c r="BC554" s="149"/>
      <c r="BD554" s="149"/>
      <c r="BE554" s="149"/>
      <c r="BF554" s="149"/>
      <c r="BG554" s="149"/>
      <c r="BH554" s="149"/>
      <c r="BI554" s="149"/>
      <c r="BJ554" s="149"/>
      <c r="BK554" s="149"/>
      <c r="BL554" s="149"/>
      <c r="BM554" s="149"/>
      <c r="BN554" s="149"/>
      <c r="BO554" s="149"/>
      <c r="BP554" s="149"/>
      <c r="BQ554" s="149"/>
      <c r="BR554" s="149"/>
      <c r="BS554" s="149"/>
      <c r="BT554" s="149"/>
      <c r="BU554" s="149"/>
      <c r="BV554" s="149"/>
      <c r="BW554" s="149"/>
      <c r="BX554" s="149"/>
      <c r="BY554" s="149"/>
      <c r="BZ554" s="149"/>
      <c r="CA554" s="149"/>
      <c r="CB554" s="149"/>
      <c r="CC554" s="149"/>
      <c r="CD554" s="149"/>
      <c r="CE554" s="149"/>
      <c r="CF554" s="149"/>
      <c r="CG554" s="149"/>
      <c r="CH554" s="149"/>
      <c r="CI554" s="149"/>
      <c r="CJ554" s="149"/>
      <c r="CK554" s="149"/>
      <c r="CL554" s="149"/>
      <c r="CM554" s="149"/>
      <c r="CN554" s="149"/>
      <c r="CO554" s="149"/>
      <c r="CP554" s="149"/>
      <c r="CQ554" s="149"/>
      <c r="CR554" s="149"/>
      <c r="CS554" s="149"/>
      <c r="CT554" s="149"/>
      <c r="CU554" s="149"/>
      <c r="CV554" s="149"/>
      <c r="CW554" s="149"/>
      <c r="CX554" s="149"/>
      <c r="CY554" s="149"/>
      <c r="CZ554" s="149"/>
      <c r="DA554" s="149"/>
      <c r="DB554" s="149"/>
      <c r="DC554" s="149"/>
      <c r="DD554" s="149"/>
    </row>
    <row r="555" spans="1:108" x14ac:dyDescent="0.35">
      <c r="A555" s="149"/>
      <c r="E555" s="149"/>
      <c r="F555" s="149"/>
      <c r="G555" s="149"/>
      <c r="H555" s="149"/>
      <c r="I555" s="149"/>
      <c r="J555" s="149"/>
      <c r="K555" s="149"/>
      <c r="L555" s="149"/>
      <c r="M555" s="149"/>
      <c r="N555" s="149"/>
      <c r="O555" s="149"/>
      <c r="P555" s="149"/>
      <c r="Q555" s="149"/>
      <c r="R555" s="149"/>
      <c r="S555" s="149"/>
      <c r="T555" s="149"/>
      <c r="U555" s="149"/>
      <c r="V555" s="149"/>
      <c r="W555" s="149"/>
      <c r="X555" s="149"/>
      <c r="Y555" s="149"/>
      <c r="Z555" s="149"/>
      <c r="AA555" s="149"/>
      <c r="AB555" s="149"/>
      <c r="AC555" s="149"/>
      <c r="AD555" s="149"/>
      <c r="AE555" s="149"/>
      <c r="AF555" s="149"/>
      <c r="AG555" s="149"/>
      <c r="AH555" s="149"/>
      <c r="AI555" s="149"/>
      <c r="AJ555" s="149"/>
      <c r="AK555" s="149"/>
      <c r="AL555" s="149"/>
      <c r="AM555" s="149"/>
      <c r="AN555" s="149"/>
      <c r="AO555" s="149"/>
      <c r="AP555" s="149"/>
      <c r="AQ555" s="149"/>
      <c r="AR555" s="149"/>
      <c r="AS555" s="149"/>
      <c r="AT555" s="149"/>
      <c r="AU555" s="149"/>
      <c r="AV555" s="149"/>
      <c r="AW555" s="149"/>
      <c r="AX555" s="149"/>
      <c r="AY555" s="149"/>
      <c r="AZ555" s="149"/>
      <c r="BA555" s="149"/>
      <c r="BB555" s="149"/>
      <c r="BC555" s="149"/>
      <c r="BD555" s="149"/>
      <c r="BE555" s="149"/>
      <c r="BF555" s="149"/>
      <c r="BG555" s="149"/>
      <c r="BH555" s="149"/>
      <c r="BI555" s="149"/>
      <c r="BJ555" s="149"/>
      <c r="BK555" s="149"/>
      <c r="BL555" s="149"/>
      <c r="BM555" s="149"/>
      <c r="BN555" s="149"/>
      <c r="BO555" s="149"/>
      <c r="BP555" s="149"/>
      <c r="BQ555" s="149"/>
      <c r="BR555" s="149"/>
      <c r="BS555" s="149"/>
      <c r="BT555" s="149"/>
      <c r="BU555" s="149"/>
      <c r="BV555" s="149"/>
      <c r="BW555" s="149"/>
      <c r="BX555" s="149"/>
      <c r="BY555" s="149"/>
      <c r="BZ555" s="149"/>
      <c r="CA555" s="149"/>
      <c r="CB555" s="149"/>
      <c r="CC555" s="149"/>
      <c r="CD555" s="149"/>
      <c r="CE555" s="149"/>
      <c r="CF555" s="149"/>
      <c r="CG555" s="149"/>
      <c r="CH555" s="149"/>
      <c r="CI555" s="149"/>
      <c r="CJ555" s="149"/>
      <c r="CK555" s="149"/>
      <c r="CL555" s="149"/>
      <c r="CM555" s="149"/>
      <c r="CN555" s="149"/>
      <c r="CO555" s="149"/>
      <c r="CP555" s="149"/>
      <c r="CQ555" s="149"/>
      <c r="CR555" s="149"/>
      <c r="CS555" s="149"/>
      <c r="CT555" s="149"/>
      <c r="CU555" s="149"/>
      <c r="CV555" s="149"/>
      <c r="CW555" s="149"/>
      <c r="CX555" s="149"/>
      <c r="CY555" s="149"/>
      <c r="CZ555" s="149"/>
      <c r="DA555" s="149"/>
      <c r="DB555" s="149"/>
      <c r="DC555" s="149"/>
      <c r="DD555" s="149"/>
    </row>
    <row r="556" spans="1:108" x14ac:dyDescent="0.35">
      <c r="A556" s="149"/>
      <c r="E556" s="149"/>
      <c r="F556" s="149"/>
      <c r="G556" s="149"/>
      <c r="H556" s="149"/>
      <c r="I556" s="149"/>
      <c r="J556" s="149"/>
      <c r="K556" s="149"/>
      <c r="L556" s="149"/>
      <c r="M556" s="149"/>
      <c r="N556" s="149"/>
      <c r="O556" s="149"/>
      <c r="P556" s="149"/>
      <c r="Q556" s="149"/>
      <c r="R556" s="149"/>
      <c r="S556" s="149"/>
      <c r="T556" s="149"/>
      <c r="U556" s="149"/>
      <c r="V556" s="149"/>
      <c r="W556" s="149"/>
      <c r="X556" s="149"/>
      <c r="Y556" s="149"/>
      <c r="Z556" s="149"/>
      <c r="AA556" s="149"/>
      <c r="AB556" s="149"/>
      <c r="AC556" s="149"/>
      <c r="AD556" s="149"/>
      <c r="AE556" s="149"/>
      <c r="AF556" s="149"/>
      <c r="AG556" s="149"/>
      <c r="AH556" s="149"/>
      <c r="AI556" s="149"/>
      <c r="AJ556" s="149"/>
      <c r="AK556" s="149"/>
      <c r="AL556" s="149"/>
      <c r="AM556" s="149"/>
      <c r="AN556" s="149"/>
      <c r="AO556" s="149"/>
      <c r="AP556" s="149"/>
      <c r="AQ556" s="149"/>
      <c r="AR556" s="149"/>
      <c r="AS556" s="149"/>
      <c r="AT556" s="149"/>
      <c r="AU556" s="149"/>
      <c r="AV556" s="149"/>
      <c r="AW556" s="149"/>
      <c r="AX556" s="149"/>
      <c r="AY556" s="149"/>
      <c r="AZ556" s="149"/>
      <c r="BA556" s="149"/>
      <c r="BB556" s="149"/>
      <c r="BC556" s="149"/>
      <c r="BD556" s="149"/>
      <c r="BE556" s="149"/>
      <c r="BF556" s="149"/>
      <c r="BG556" s="149"/>
      <c r="BH556" s="149"/>
      <c r="BI556" s="149"/>
      <c r="BJ556" s="149"/>
      <c r="BK556" s="149"/>
      <c r="BL556" s="149"/>
      <c r="BM556" s="149"/>
      <c r="BN556" s="149"/>
      <c r="BO556" s="149"/>
      <c r="BP556" s="149"/>
      <c r="BQ556" s="149"/>
      <c r="BR556" s="149"/>
      <c r="BS556" s="149"/>
      <c r="BT556" s="149"/>
      <c r="BU556" s="149"/>
      <c r="BV556" s="149"/>
      <c r="BW556" s="149"/>
      <c r="BX556" s="149"/>
      <c r="BY556" s="149"/>
      <c r="BZ556" s="149"/>
      <c r="CA556" s="149"/>
      <c r="CB556" s="149"/>
      <c r="CC556" s="149"/>
      <c r="CD556" s="149"/>
      <c r="CE556" s="149"/>
      <c r="CF556" s="149"/>
      <c r="CG556" s="149"/>
      <c r="CH556" s="149"/>
      <c r="CI556" s="149"/>
      <c r="CJ556" s="149"/>
      <c r="CK556" s="149"/>
      <c r="CL556" s="149"/>
      <c r="CM556" s="149"/>
      <c r="CN556" s="149"/>
      <c r="CO556" s="149"/>
      <c r="CP556" s="149"/>
      <c r="CQ556" s="149"/>
      <c r="CR556" s="149"/>
      <c r="CS556" s="149"/>
      <c r="CT556" s="149"/>
      <c r="CU556" s="149"/>
      <c r="CV556" s="149"/>
      <c r="CW556" s="149"/>
      <c r="CX556" s="149"/>
      <c r="CY556" s="149"/>
      <c r="CZ556" s="149"/>
      <c r="DA556" s="149"/>
      <c r="DB556" s="149"/>
      <c r="DC556" s="149"/>
      <c r="DD556" s="149"/>
    </row>
    <row r="557" spans="1:108" x14ac:dyDescent="0.35">
      <c r="A557" s="149"/>
      <c r="E557" s="149"/>
      <c r="F557" s="149"/>
      <c r="G557" s="149"/>
      <c r="H557" s="149"/>
      <c r="I557" s="149"/>
      <c r="J557" s="149"/>
      <c r="K557" s="149"/>
      <c r="L557" s="149"/>
      <c r="M557" s="149"/>
      <c r="N557" s="149"/>
      <c r="O557" s="149"/>
      <c r="P557" s="149"/>
      <c r="Q557" s="149"/>
      <c r="R557" s="149"/>
      <c r="S557" s="149"/>
      <c r="T557" s="149"/>
      <c r="U557" s="149"/>
      <c r="V557" s="149"/>
      <c r="W557" s="149"/>
      <c r="X557" s="149"/>
      <c r="Y557" s="149"/>
      <c r="Z557" s="149"/>
      <c r="AA557" s="149"/>
      <c r="AB557" s="149"/>
      <c r="AC557" s="149"/>
      <c r="AD557" s="149"/>
      <c r="AE557" s="149"/>
      <c r="AF557" s="149"/>
      <c r="AG557" s="149"/>
      <c r="AH557" s="149"/>
      <c r="AI557" s="149"/>
      <c r="AJ557" s="149"/>
      <c r="AK557" s="149"/>
      <c r="AL557" s="149"/>
      <c r="AM557" s="149"/>
      <c r="AN557" s="149"/>
      <c r="AO557" s="149"/>
      <c r="AP557" s="149"/>
      <c r="AQ557" s="149"/>
      <c r="AR557" s="149"/>
      <c r="AS557" s="149"/>
      <c r="AT557" s="149"/>
      <c r="AU557" s="149"/>
      <c r="AV557" s="149"/>
      <c r="AW557" s="149"/>
      <c r="AX557" s="149"/>
      <c r="AY557" s="149"/>
      <c r="AZ557" s="149"/>
      <c r="BA557" s="149"/>
      <c r="BB557" s="149"/>
      <c r="BC557" s="149"/>
      <c r="BD557" s="149"/>
      <c r="BE557" s="149"/>
      <c r="BF557" s="149"/>
      <c r="BG557" s="149"/>
      <c r="BH557" s="149"/>
      <c r="BI557" s="149"/>
      <c r="BJ557" s="149"/>
      <c r="BK557" s="149"/>
      <c r="BL557" s="149"/>
      <c r="BM557" s="149"/>
      <c r="BN557" s="149"/>
      <c r="BO557" s="149"/>
      <c r="BP557" s="149"/>
      <c r="BQ557" s="149"/>
      <c r="BR557" s="149"/>
      <c r="BS557" s="149"/>
      <c r="BT557" s="149"/>
      <c r="BU557" s="149"/>
      <c r="BV557" s="149"/>
      <c r="BW557" s="149"/>
      <c r="BX557" s="149"/>
      <c r="BY557" s="149"/>
      <c r="BZ557" s="149"/>
      <c r="CA557" s="149"/>
      <c r="CB557" s="149"/>
      <c r="CC557" s="149"/>
      <c r="CD557" s="149"/>
      <c r="CE557" s="149"/>
      <c r="CF557" s="149"/>
      <c r="CG557" s="149"/>
      <c r="CH557" s="149"/>
      <c r="CI557" s="149"/>
      <c r="CJ557" s="149"/>
      <c r="CK557" s="149"/>
      <c r="CL557" s="149"/>
      <c r="CM557" s="149"/>
      <c r="CN557" s="149"/>
      <c r="CO557" s="149"/>
      <c r="CP557" s="149"/>
      <c r="CQ557" s="149"/>
      <c r="CR557" s="149"/>
      <c r="CS557" s="149"/>
      <c r="CT557" s="149"/>
      <c r="CU557" s="149"/>
      <c r="CV557" s="149"/>
      <c r="CW557" s="149"/>
      <c r="CX557" s="149"/>
      <c r="CY557" s="149"/>
      <c r="CZ557" s="149"/>
      <c r="DA557" s="149"/>
      <c r="DB557" s="149"/>
      <c r="DC557" s="149"/>
      <c r="DD557" s="149"/>
    </row>
    <row r="558" spans="1:108" x14ac:dyDescent="0.35">
      <c r="A558" s="149"/>
      <c r="E558" s="149"/>
      <c r="F558" s="149"/>
      <c r="G558" s="149"/>
      <c r="H558" s="149"/>
      <c r="I558" s="149"/>
      <c r="J558" s="149"/>
      <c r="K558" s="149"/>
      <c r="L558" s="149"/>
      <c r="M558" s="149"/>
      <c r="N558" s="149"/>
      <c r="O558" s="149"/>
      <c r="P558" s="149"/>
      <c r="Q558" s="149"/>
      <c r="R558" s="149"/>
      <c r="S558" s="149"/>
      <c r="T558" s="149"/>
      <c r="U558" s="149"/>
      <c r="V558" s="149"/>
      <c r="W558" s="149"/>
      <c r="X558" s="149"/>
      <c r="Y558" s="149"/>
      <c r="Z558" s="149"/>
      <c r="AA558" s="149"/>
      <c r="AB558" s="149"/>
      <c r="AC558" s="149"/>
      <c r="AD558" s="149"/>
      <c r="AE558" s="149"/>
      <c r="AF558" s="149"/>
      <c r="AG558" s="149"/>
      <c r="AH558" s="149"/>
      <c r="AI558" s="149"/>
      <c r="AJ558" s="149"/>
      <c r="AK558" s="149"/>
      <c r="AL558" s="149"/>
      <c r="AM558" s="149"/>
      <c r="AN558" s="149"/>
      <c r="AO558" s="149"/>
      <c r="AP558" s="149"/>
      <c r="AQ558" s="149"/>
      <c r="AR558" s="149"/>
      <c r="AS558" s="149"/>
      <c r="AT558" s="149"/>
      <c r="AU558" s="149"/>
      <c r="AV558" s="149"/>
      <c r="AW558" s="149"/>
      <c r="AX558" s="149"/>
      <c r="AY558" s="149"/>
      <c r="AZ558" s="149"/>
      <c r="BA558" s="149"/>
      <c r="BB558" s="149"/>
      <c r="BC558" s="149"/>
      <c r="BD558" s="149"/>
      <c r="BE558" s="149"/>
      <c r="BF558" s="149"/>
      <c r="BG558" s="149"/>
      <c r="BH558" s="149"/>
      <c r="BI558" s="149"/>
      <c r="BJ558" s="149"/>
      <c r="BK558" s="149"/>
      <c r="BL558" s="149"/>
      <c r="BM558" s="149"/>
      <c r="BN558" s="149"/>
      <c r="BO558" s="149"/>
      <c r="BP558" s="149"/>
      <c r="BQ558" s="149"/>
      <c r="BR558" s="149"/>
      <c r="BS558" s="149"/>
      <c r="BT558" s="149"/>
      <c r="BU558" s="149"/>
      <c r="BV558" s="149"/>
      <c r="BW558" s="149"/>
      <c r="BX558" s="149"/>
      <c r="BY558" s="149"/>
      <c r="BZ558" s="149"/>
      <c r="CA558" s="149"/>
      <c r="CB558" s="149"/>
      <c r="CC558" s="149"/>
      <c r="CD558" s="149"/>
      <c r="CE558" s="149"/>
      <c r="CF558" s="149"/>
      <c r="CG558" s="149"/>
      <c r="CH558" s="149"/>
      <c r="CI558" s="149"/>
      <c r="CJ558" s="149"/>
      <c r="CK558" s="149"/>
      <c r="CL558" s="149"/>
      <c r="CM558" s="149"/>
      <c r="CN558" s="149"/>
      <c r="CO558" s="149"/>
      <c r="CP558" s="149"/>
      <c r="CQ558" s="149"/>
      <c r="CR558" s="149"/>
      <c r="CS558" s="149"/>
      <c r="CT558" s="149"/>
      <c r="CU558" s="149"/>
      <c r="CV558" s="149"/>
      <c r="CW558" s="149"/>
      <c r="CX558" s="149"/>
      <c r="CY558" s="149"/>
      <c r="CZ558" s="149"/>
      <c r="DA558" s="149"/>
      <c r="DB558" s="149"/>
      <c r="DC558" s="149"/>
      <c r="DD558" s="149"/>
    </row>
    <row r="559" spans="1:108" x14ac:dyDescent="0.35">
      <c r="A559" s="149"/>
      <c r="E559" s="149"/>
      <c r="F559" s="149"/>
      <c r="G559" s="149"/>
      <c r="H559" s="149"/>
      <c r="I559" s="149"/>
      <c r="J559" s="149"/>
      <c r="K559" s="149"/>
      <c r="L559" s="149"/>
      <c r="M559" s="149"/>
      <c r="N559" s="149"/>
      <c r="O559" s="149"/>
      <c r="P559" s="149"/>
      <c r="Q559" s="149"/>
      <c r="R559" s="149"/>
      <c r="S559" s="149"/>
      <c r="T559" s="149"/>
      <c r="U559" s="149"/>
      <c r="V559" s="149"/>
      <c r="W559" s="149"/>
      <c r="X559" s="149"/>
      <c r="Y559" s="149"/>
      <c r="Z559" s="149"/>
      <c r="AA559" s="149"/>
      <c r="AB559" s="149"/>
      <c r="AC559" s="149"/>
      <c r="AD559" s="149"/>
      <c r="AE559" s="149"/>
      <c r="AF559" s="149"/>
      <c r="AG559" s="149"/>
      <c r="AH559" s="149"/>
      <c r="AI559" s="149"/>
      <c r="AJ559" s="149"/>
      <c r="AK559" s="149"/>
      <c r="AL559" s="149"/>
      <c r="AM559" s="149"/>
      <c r="AN559" s="149"/>
      <c r="AO559" s="149"/>
      <c r="AP559" s="149"/>
      <c r="AQ559" s="149"/>
      <c r="AR559" s="149"/>
      <c r="AS559" s="149"/>
      <c r="AT559" s="149"/>
      <c r="AU559" s="149"/>
      <c r="AV559" s="149"/>
      <c r="AW559" s="149"/>
      <c r="AX559" s="149"/>
      <c r="AY559" s="149"/>
      <c r="AZ559" s="149"/>
      <c r="BA559" s="149"/>
      <c r="BB559" s="149"/>
      <c r="BC559" s="149"/>
      <c r="BD559" s="149"/>
      <c r="BE559" s="149"/>
      <c r="BF559" s="149"/>
      <c r="BG559" s="149"/>
      <c r="BH559" s="149"/>
      <c r="BI559" s="149"/>
      <c r="BJ559" s="149"/>
      <c r="BK559" s="149"/>
      <c r="BL559" s="149"/>
      <c r="BM559" s="149"/>
      <c r="BN559" s="149"/>
      <c r="BO559" s="149"/>
      <c r="BP559" s="149"/>
      <c r="BQ559" s="149"/>
      <c r="BR559" s="149"/>
      <c r="BS559" s="149"/>
      <c r="BT559" s="149"/>
      <c r="BU559" s="149"/>
      <c r="BV559" s="149"/>
      <c r="BW559" s="149"/>
      <c r="BX559" s="149"/>
      <c r="BY559" s="149"/>
      <c r="BZ559" s="149"/>
      <c r="CA559" s="149"/>
      <c r="CB559" s="149"/>
      <c r="CC559" s="149"/>
      <c r="CD559" s="149"/>
      <c r="CE559" s="149"/>
      <c r="CF559" s="149"/>
      <c r="CG559" s="149"/>
      <c r="CH559" s="149"/>
      <c r="CI559" s="149"/>
      <c r="CJ559" s="149"/>
      <c r="CK559" s="149"/>
      <c r="CL559" s="149"/>
      <c r="CM559" s="149"/>
      <c r="CN559" s="149"/>
      <c r="CO559" s="149"/>
      <c r="CP559" s="149"/>
      <c r="CQ559" s="149"/>
      <c r="CR559" s="149"/>
      <c r="CS559" s="149"/>
      <c r="CT559" s="149"/>
      <c r="CU559" s="149"/>
      <c r="CV559" s="149"/>
      <c r="CW559" s="149"/>
      <c r="CX559" s="149"/>
      <c r="CY559" s="149"/>
      <c r="CZ559" s="149"/>
      <c r="DA559" s="149"/>
      <c r="DB559" s="149"/>
      <c r="DC559" s="149"/>
      <c r="DD559" s="149"/>
    </row>
    <row r="560" spans="1:108" x14ac:dyDescent="0.35">
      <c r="A560" s="149"/>
      <c r="E560" s="149"/>
      <c r="F560" s="149"/>
      <c r="G560" s="149"/>
      <c r="H560" s="149"/>
      <c r="I560" s="149"/>
      <c r="J560" s="149"/>
      <c r="K560" s="149"/>
      <c r="L560" s="149"/>
      <c r="M560" s="149"/>
      <c r="N560" s="149"/>
      <c r="O560" s="149"/>
      <c r="P560" s="149"/>
      <c r="Q560" s="149"/>
      <c r="R560" s="149"/>
      <c r="S560" s="149"/>
      <c r="T560" s="149"/>
      <c r="U560" s="149"/>
      <c r="V560" s="149"/>
      <c r="W560" s="149"/>
      <c r="X560" s="149"/>
      <c r="Y560" s="149"/>
      <c r="Z560" s="149"/>
      <c r="AA560" s="149"/>
      <c r="AB560" s="149"/>
      <c r="AC560" s="149"/>
      <c r="AD560" s="149"/>
      <c r="AE560" s="149"/>
      <c r="AF560" s="149"/>
      <c r="AG560" s="149"/>
      <c r="AH560" s="149"/>
      <c r="AI560" s="149"/>
      <c r="AJ560" s="149"/>
      <c r="AK560" s="149"/>
      <c r="AL560" s="149"/>
      <c r="AM560" s="149"/>
      <c r="AN560" s="149"/>
      <c r="AO560" s="149"/>
      <c r="AP560" s="149"/>
      <c r="AQ560" s="149"/>
      <c r="AR560" s="149"/>
      <c r="AS560" s="149"/>
      <c r="AT560" s="149"/>
      <c r="AU560" s="149"/>
      <c r="AV560" s="149"/>
      <c r="AW560" s="149"/>
      <c r="AX560" s="149"/>
      <c r="AY560" s="149"/>
      <c r="AZ560" s="149"/>
      <c r="BA560" s="149"/>
      <c r="BB560" s="149"/>
      <c r="BC560" s="149"/>
      <c r="BD560" s="149"/>
      <c r="BE560" s="149"/>
      <c r="BF560" s="149"/>
      <c r="BG560" s="149"/>
      <c r="BH560" s="149"/>
      <c r="BI560" s="149"/>
      <c r="BJ560" s="149"/>
      <c r="BK560" s="149"/>
      <c r="BL560" s="149"/>
      <c r="BM560" s="149"/>
      <c r="BN560" s="149"/>
      <c r="BO560" s="149"/>
      <c r="BP560" s="149"/>
      <c r="BQ560" s="149"/>
      <c r="BR560" s="149"/>
      <c r="BS560" s="149"/>
      <c r="BT560" s="149"/>
      <c r="BU560" s="149"/>
      <c r="BV560" s="149"/>
      <c r="BW560" s="149"/>
      <c r="BX560" s="149"/>
      <c r="BY560" s="149"/>
      <c r="BZ560" s="149"/>
      <c r="CA560" s="149"/>
      <c r="CB560" s="149"/>
      <c r="CC560" s="149"/>
      <c r="CD560" s="149"/>
      <c r="CE560" s="149"/>
      <c r="CF560" s="149"/>
      <c r="CG560" s="149"/>
      <c r="CH560" s="149"/>
      <c r="CI560" s="149"/>
      <c r="CJ560" s="149"/>
      <c r="CK560" s="149"/>
      <c r="CL560" s="149"/>
      <c r="CM560" s="149"/>
      <c r="CN560" s="149"/>
      <c r="CO560" s="149"/>
      <c r="CP560" s="149"/>
      <c r="CQ560" s="149"/>
      <c r="CR560" s="149"/>
      <c r="CS560" s="149"/>
      <c r="CT560" s="149"/>
      <c r="CU560" s="149"/>
      <c r="CV560" s="149"/>
      <c r="CW560" s="149"/>
      <c r="CX560" s="149"/>
      <c r="CY560" s="149"/>
      <c r="CZ560" s="149"/>
      <c r="DA560" s="149"/>
      <c r="DB560" s="149"/>
      <c r="DC560" s="149"/>
      <c r="DD560" s="149"/>
    </row>
    <row r="561" spans="1:108" x14ac:dyDescent="0.35">
      <c r="A561" s="149"/>
      <c r="E561" s="149"/>
      <c r="F561" s="149"/>
      <c r="G561" s="149"/>
      <c r="H561" s="149"/>
      <c r="I561" s="149"/>
      <c r="J561" s="149"/>
      <c r="K561" s="149"/>
      <c r="L561" s="149"/>
      <c r="M561" s="149"/>
      <c r="N561" s="149"/>
      <c r="O561" s="149"/>
      <c r="P561" s="149"/>
      <c r="Q561" s="149"/>
      <c r="R561" s="149"/>
      <c r="S561" s="149"/>
      <c r="T561" s="149"/>
      <c r="U561" s="149"/>
      <c r="V561" s="149"/>
      <c r="W561" s="149"/>
      <c r="X561" s="149"/>
      <c r="Y561" s="149"/>
      <c r="Z561" s="149"/>
      <c r="AA561" s="149"/>
      <c r="AB561" s="149"/>
      <c r="AC561" s="149"/>
      <c r="AD561" s="149"/>
      <c r="AE561" s="149"/>
      <c r="AF561" s="149"/>
      <c r="AG561" s="149"/>
      <c r="AH561" s="149"/>
      <c r="AI561" s="149"/>
      <c r="AJ561" s="149"/>
      <c r="AK561" s="149"/>
      <c r="AL561" s="149"/>
      <c r="AM561" s="149"/>
      <c r="AN561" s="149"/>
      <c r="AO561" s="149"/>
      <c r="AP561" s="149"/>
      <c r="AQ561" s="149"/>
      <c r="AR561" s="149"/>
      <c r="AS561" s="149"/>
      <c r="AT561" s="149"/>
      <c r="AU561" s="149"/>
      <c r="AV561" s="149"/>
      <c r="AW561" s="149"/>
      <c r="AX561" s="149"/>
      <c r="AY561" s="149"/>
      <c r="AZ561" s="149"/>
      <c r="BA561" s="149"/>
      <c r="BB561" s="149"/>
      <c r="BC561" s="149"/>
      <c r="BD561" s="149"/>
      <c r="BE561" s="149"/>
      <c r="BF561" s="149"/>
      <c r="BG561" s="149"/>
      <c r="BH561" s="149"/>
      <c r="BI561" s="149"/>
      <c r="BJ561" s="149"/>
      <c r="BK561" s="149"/>
      <c r="BL561" s="149"/>
      <c r="BM561" s="149"/>
      <c r="BN561" s="149"/>
      <c r="BO561" s="149"/>
      <c r="BP561" s="149"/>
      <c r="BQ561" s="149"/>
      <c r="BR561" s="149"/>
      <c r="BS561" s="149"/>
      <c r="BT561" s="149"/>
      <c r="BU561" s="149"/>
      <c r="BV561" s="149"/>
      <c r="BW561" s="149"/>
      <c r="BX561" s="149"/>
      <c r="BY561" s="149"/>
      <c r="BZ561" s="149"/>
      <c r="CA561" s="149"/>
      <c r="CB561" s="149"/>
      <c r="CC561" s="149"/>
      <c r="CD561" s="149"/>
      <c r="CE561" s="149"/>
      <c r="CF561" s="149"/>
      <c r="CG561" s="149"/>
      <c r="CH561" s="149"/>
      <c r="CI561" s="149"/>
      <c r="CJ561" s="149"/>
      <c r="CK561" s="149"/>
      <c r="CL561" s="149"/>
      <c r="CM561" s="149"/>
      <c r="CN561" s="149"/>
      <c r="CO561" s="149"/>
      <c r="CP561" s="149"/>
      <c r="CQ561" s="149"/>
      <c r="CR561" s="149"/>
      <c r="CS561" s="149"/>
      <c r="CT561" s="149"/>
      <c r="CU561" s="149"/>
      <c r="CV561" s="149"/>
      <c r="CW561" s="149"/>
      <c r="CX561" s="149"/>
      <c r="CY561" s="149"/>
      <c r="CZ561" s="149"/>
      <c r="DA561" s="149"/>
      <c r="DB561" s="149"/>
      <c r="DC561" s="149"/>
      <c r="DD561" s="149"/>
    </row>
    <row r="562" spans="1:108" x14ac:dyDescent="0.35">
      <c r="A562" s="149"/>
      <c r="E562" s="149"/>
      <c r="F562" s="149"/>
      <c r="G562" s="149"/>
      <c r="H562" s="149"/>
      <c r="I562" s="149"/>
      <c r="J562" s="149"/>
      <c r="K562" s="149"/>
      <c r="L562" s="149"/>
      <c r="M562" s="149"/>
      <c r="N562" s="149"/>
      <c r="O562" s="149"/>
      <c r="P562" s="149"/>
      <c r="Q562" s="149"/>
      <c r="R562" s="149"/>
      <c r="S562" s="149"/>
      <c r="T562" s="149"/>
      <c r="U562" s="149"/>
      <c r="V562" s="149"/>
      <c r="W562" s="149"/>
      <c r="X562" s="149"/>
      <c r="Y562" s="149"/>
      <c r="Z562" s="149"/>
      <c r="AA562" s="149"/>
      <c r="AB562" s="149"/>
      <c r="AC562" s="149"/>
      <c r="AD562" s="149"/>
      <c r="AE562" s="149"/>
      <c r="AF562" s="149"/>
      <c r="AG562" s="149"/>
      <c r="AH562" s="149"/>
      <c r="AI562" s="149"/>
      <c r="AJ562" s="149"/>
      <c r="AK562" s="149"/>
      <c r="AL562" s="149"/>
      <c r="AM562" s="149"/>
      <c r="AN562" s="149"/>
      <c r="AO562" s="149"/>
      <c r="AP562" s="149"/>
      <c r="AQ562" s="149"/>
      <c r="AR562" s="149"/>
      <c r="AS562" s="149"/>
      <c r="AT562" s="149"/>
      <c r="AU562" s="149"/>
      <c r="AV562" s="149"/>
      <c r="AW562" s="149"/>
      <c r="AX562" s="149"/>
      <c r="AY562" s="149"/>
      <c r="AZ562" s="149"/>
      <c r="BA562" s="149"/>
      <c r="BB562" s="149"/>
      <c r="BC562" s="149"/>
      <c r="BD562" s="149"/>
      <c r="BE562" s="149"/>
      <c r="BF562" s="149"/>
      <c r="BG562" s="149"/>
      <c r="BH562" s="149"/>
      <c r="BI562" s="149"/>
      <c r="BJ562" s="149"/>
      <c r="BK562" s="149"/>
      <c r="BL562" s="149"/>
      <c r="BM562" s="149"/>
      <c r="BN562" s="149"/>
      <c r="BO562" s="149"/>
      <c r="BP562" s="149"/>
      <c r="BQ562" s="149"/>
      <c r="BR562" s="149"/>
      <c r="BS562" s="149"/>
      <c r="BT562" s="149"/>
      <c r="BU562" s="149"/>
      <c r="BV562" s="149"/>
      <c r="BW562" s="149"/>
      <c r="BX562" s="149"/>
      <c r="BY562" s="149"/>
      <c r="BZ562" s="149"/>
      <c r="CA562" s="149"/>
      <c r="CB562" s="149"/>
      <c r="CC562" s="149"/>
      <c r="CD562" s="149"/>
      <c r="CE562" s="149"/>
      <c r="CF562" s="149"/>
      <c r="CG562" s="149"/>
      <c r="CH562" s="149"/>
      <c r="CI562" s="149"/>
      <c r="CJ562" s="149"/>
      <c r="CK562" s="149"/>
      <c r="CL562" s="149"/>
      <c r="CM562" s="149"/>
      <c r="CN562" s="149"/>
      <c r="CO562" s="149"/>
      <c r="CP562" s="149"/>
      <c r="CQ562" s="149"/>
      <c r="CR562" s="149"/>
      <c r="CS562" s="149"/>
      <c r="CT562" s="149"/>
      <c r="CU562" s="149"/>
      <c r="CV562" s="149"/>
      <c r="CW562" s="149"/>
      <c r="CX562" s="149"/>
      <c r="CY562" s="149"/>
      <c r="CZ562" s="149"/>
      <c r="DA562" s="149"/>
      <c r="DB562" s="149"/>
      <c r="DC562" s="149"/>
      <c r="DD562" s="149"/>
    </row>
    <row r="563" spans="1:108" x14ac:dyDescent="0.35">
      <c r="A563" s="149"/>
      <c r="E563" s="149"/>
      <c r="F563" s="149"/>
      <c r="G563" s="149"/>
      <c r="H563" s="149"/>
      <c r="I563" s="149"/>
      <c r="J563" s="149"/>
      <c r="K563" s="149"/>
      <c r="L563" s="149"/>
      <c r="M563" s="149"/>
      <c r="N563" s="149"/>
      <c r="O563" s="149"/>
      <c r="P563" s="149"/>
      <c r="Q563" s="149"/>
      <c r="R563" s="149"/>
      <c r="S563" s="149"/>
      <c r="T563" s="149"/>
      <c r="U563" s="149"/>
      <c r="V563" s="149"/>
      <c r="W563" s="149"/>
      <c r="X563" s="149"/>
      <c r="Y563" s="149"/>
      <c r="Z563" s="149"/>
      <c r="AA563" s="149"/>
      <c r="AB563" s="149"/>
      <c r="AC563" s="149"/>
      <c r="AD563" s="149"/>
      <c r="AE563" s="149"/>
      <c r="AF563" s="149"/>
      <c r="AG563" s="149"/>
      <c r="AH563" s="149"/>
      <c r="AI563" s="149"/>
      <c r="AJ563" s="149"/>
      <c r="AK563" s="149"/>
      <c r="AL563" s="149"/>
      <c r="AM563" s="149"/>
      <c r="AN563" s="149"/>
      <c r="AO563" s="149"/>
      <c r="AP563" s="149"/>
      <c r="AQ563" s="149"/>
      <c r="AR563" s="149"/>
      <c r="AS563" s="149"/>
      <c r="AT563" s="149"/>
      <c r="AU563" s="149"/>
      <c r="AV563" s="149"/>
      <c r="AW563" s="149"/>
      <c r="AX563" s="149"/>
      <c r="AY563" s="149"/>
      <c r="AZ563" s="149"/>
      <c r="BA563" s="149"/>
      <c r="BB563" s="149"/>
      <c r="BC563" s="149"/>
      <c r="BD563" s="149"/>
      <c r="BE563" s="149"/>
      <c r="BF563" s="149"/>
      <c r="BG563" s="149"/>
      <c r="BH563" s="149"/>
      <c r="BI563" s="149"/>
      <c r="BJ563" s="149"/>
      <c r="BK563" s="149"/>
      <c r="BL563" s="149"/>
      <c r="BM563" s="149"/>
      <c r="BN563" s="149"/>
      <c r="BO563" s="149"/>
      <c r="BP563" s="149"/>
      <c r="BQ563" s="149"/>
      <c r="BR563" s="149"/>
      <c r="BS563" s="149"/>
      <c r="BT563" s="149"/>
      <c r="BU563" s="149"/>
      <c r="BV563" s="149"/>
      <c r="BW563" s="149"/>
      <c r="BX563" s="149"/>
      <c r="BY563" s="149"/>
      <c r="BZ563" s="149"/>
      <c r="CA563" s="149"/>
      <c r="CB563" s="149"/>
      <c r="CC563" s="149"/>
      <c r="CD563" s="149"/>
      <c r="CE563" s="149"/>
      <c r="CF563" s="149"/>
      <c r="CG563" s="149"/>
      <c r="CH563" s="149"/>
      <c r="CI563" s="149"/>
      <c r="CJ563" s="149"/>
      <c r="CK563" s="149"/>
      <c r="CL563" s="149"/>
      <c r="CM563" s="149"/>
      <c r="CN563" s="149"/>
      <c r="CO563" s="149"/>
      <c r="CP563" s="149"/>
      <c r="CQ563" s="149"/>
      <c r="CR563" s="149"/>
      <c r="CS563" s="149"/>
      <c r="CT563" s="149"/>
      <c r="CU563" s="149"/>
      <c r="CV563" s="149"/>
      <c r="CW563" s="149"/>
      <c r="CX563" s="149"/>
      <c r="CY563" s="149"/>
      <c r="CZ563" s="149"/>
      <c r="DA563" s="149"/>
      <c r="DB563" s="149"/>
      <c r="DC563" s="149"/>
      <c r="DD563" s="149"/>
    </row>
    <row r="564" spans="1:108" x14ac:dyDescent="0.35">
      <c r="A564" s="149"/>
      <c r="E564" s="149"/>
      <c r="F564" s="149"/>
      <c r="G564" s="149"/>
      <c r="H564" s="149"/>
      <c r="I564" s="149"/>
      <c r="J564" s="149"/>
      <c r="K564" s="149"/>
      <c r="L564" s="149"/>
      <c r="M564" s="149"/>
      <c r="N564" s="149"/>
      <c r="O564" s="149"/>
      <c r="P564" s="149"/>
      <c r="Q564" s="149"/>
      <c r="R564" s="149"/>
      <c r="S564" s="149"/>
      <c r="T564" s="149"/>
      <c r="U564" s="149"/>
      <c r="V564" s="149"/>
      <c r="W564" s="149"/>
      <c r="X564" s="149"/>
      <c r="Y564" s="149"/>
      <c r="Z564" s="149"/>
      <c r="AA564" s="149"/>
      <c r="AB564" s="149"/>
      <c r="AC564" s="149"/>
      <c r="AD564" s="149"/>
      <c r="AE564" s="149"/>
      <c r="AF564" s="149"/>
      <c r="AG564" s="149"/>
      <c r="AH564" s="149"/>
      <c r="AI564" s="149"/>
      <c r="AJ564" s="149"/>
      <c r="AK564" s="149"/>
      <c r="AL564" s="149"/>
      <c r="AM564" s="149"/>
      <c r="AN564" s="149"/>
      <c r="AO564" s="149"/>
      <c r="AP564" s="149"/>
      <c r="AQ564" s="149"/>
      <c r="AR564" s="149"/>
      <c r="AS564" s="149"/>
      <c r="AT564" s="149"/>
      <c r="AU564" s="149"/>
      <c r="AV564" s="149"/>
      <c r="AW564" s="149"/>
      <c r="AX564" s="149"/>
      <c r="AY564" s="149"/>
      <c r="AZ564" s="149"/>
      <c r="BA564" s="149"/>
      <c r="BB564" s="149"/>
      <c r="BC564" s="149"/>
      <c r="BD564" s="149"/>
      <c r="BE564" s="149"/>
      <c r="BF564" s="149"/>
      <c r="BG564" s="149"/>
      <c r="BH564" s="149"/>
      <c r="BI564" s="149"/>
      <c r="BJ564" s="149"/>
      <c r="BK564" s="149"/>
      <c r="BL564" s="149"/>
      <c r="BM564" s="149"/>
      <c r="BN564" s="149"/>
      <c r="BO564" s="149"/>
      <c r="BP564" s="149"/>
      <c r="BQ564" s="149"/>
      <c r="BR564" s="149"/>
      <c r="BS564" s="149"/>
      <c r="BT564" s="149"/>
      <c r="BU564" s="149"/>
      <c r="BV564" s="149"/>
      <c r="BW564" s="149"/>
      <c r="BX564" s="149"/>
      <c r="BY564" s="149"/>
      <c r="BZ564" s="149"/>
      <c r="CA564" s="149"/>
      <c r="CB564" s="149"/>
      <c r="CC564" s="149"/>
      <c r="CD564" s="149"/>
      <c r="CE564" s="149"/>
      <c r="CF564" s="149"/>
      <c r="CG564" s="149"/>
      <c r="CH564" s="149"/>
      <c r="CI564" s="149"/>
      <c r="CJ564" s="149"/>
      <c r="CK564" s="149"/>
      <c r="CL564" s="149"/>
      <c r="CM564" s="149"/>
      <c r="CN564" s="149"/>
      <c r="CO564" s="149"/>
      <c r="CP564" s="149"/>
      <c r="CQ564" s="149"/>
      <c r="CR564" s="149"/>
      <c r="CS564" s="149"/>
      <c r="CT564" s="149"/>
      <c r="CU564" s="149"/>
      <c r="CV564" s="149"/>
      <c r="CW564" s="149"/>
      <c r="CX564" s="149"/>
      <c r="CY564" s="149"/>
      <c r="CZ564" s="149"/>
      <c r="DA564" s="149"/>
      <c r="DB564" s="149"/>
      <c r="DC564" s="149"/>
      <c r="DD564" s="149"/>
    </row>
    <row r="565" spans="1:108" x14ac:dyDescent="0.35">
      <c r="A565" s="149"/>
      <c r="E565" s="149"/>
      <c r="F565" s="149"/>
      <c r="G565" s="149"/>
      <c r="H565" s="149"/>
      <c r="I565" s="149"/>
      <c r="J565" s="149"/>
      <c r="K565" s="149"/>
      <c r="L565" s="149"/>
      <c r="M565" s="149"/>
      <c r="N565" s="149"/>
      <c r="O565" s="149"/>
      <c r="P565" s="149"/>
      <c r="Q565" s="149"/>
      <c r="R565" s="149"/>
      <c r="S565" s="149"/>
      <c r="T565" s="149"/>
      <c r="U565" s="149"/>
      <c r="V565" s="149"/>
      <c r="W565" s="149"/>
      <c r="X565" s="149"/>
      <c r="Y565" s="149"/>
      <c r="Z565" s="149"/>
      <c r="AA565" s="149"/>
      <c r="AB565" s="149"/>
      <c r="AC565" s="149"/>
      <c r="AD565" s="149"/>
      <c r="AE565" s="149"/>
      <c r="AF565" s="149"/>
      <c r="AG565" s="149"/>
      <c r="AH565" s="149"/>
      <c r="AI565" s="149"/>
      <c r="AJ565" s="149"/>
      <c r="AK565" s="149"/>
      <c r="AL565" s="149"/>
      <c r="AM565" s="149"/>
      <c r="AN565" s="149"/>
      <c r="AO565" s="149"/>
      <c r="AP565" s="149"/>
      <c r="AQ565" s="149"/>
      <c r="AR565" s="149"/>
      <c r="AS565" s="149"/>
      <c r="AT565" s="149"/>
      <c r="AU565" s="149"/>
      <c r="AV565" s="149"/>
      <c r="AW565" s="149"/>
      <c r="AX565" s="149"/>
      <c r="AY565" s="149"/>
      <c r="AZ565" s="149"/>
      <c r="BA565" s="149"/>
      <c r="BB565" s="149"/>
      <c r="BC565" s="149"/>
      <c r="BD565" s="149"/>
      <c r="BE565" s="149"/>
      <c r="BF565" s="149"/>
      <c r="BG565" s="149"/>
      <c r="BH565" s="149"/>
      <c r="BI565" s="149"/>
      <c r="BJ565" s="149"/>
      <c r="BK565" s="149"/>
      <c r="BL565" s="149"/>
      <c r="BM565" s="149"/>
      <c r="BN565" s="149"/>
      <c r="BO565" s="149"/>
      <c r="BP565" s="149"/>
      <c r="BQ565" s="149"/>
      <c r="BR565" s="149"/>
      <c r="BS565" s="149"/>
      <c r="BT565" s="149"/>
      <c r="BU565" s="149"/>
      <c r="BV565" s="149"/>
      <c r="BW565" s="149"/>
      <c r="BX565" s="149"/>
      <c r="BY565" s="149"/>
      <c r="BZ565" s="149"/>
      <c r="CA565" s="149"/>
      <c r="CB565" s="149"/>
      <c r="CC565" s="149"/>
      <c r="CD565" s="149"/>
      <c r="CE565" s="149"/>
      <c r="CF565" s="149"/>
      <c r="CG565" s="149"/>
      <c r="CH565" s="149"/>
      <c r="CI565" s="149"/>
      <c r="CJ565" s="149"/>
      <c r="CK565" s="149"/>
      <c r="CL565" s="149"/>
      <c r="CM565" s="149"/>
      <c r="CN565" s="149"/>
      <c r="CO565" s="149"/>
      <c r="CP565" s="149"/>
      <c r="CQ565" s="149"/>
      <c r="CR565" s="149"/>
      <c r="CS565" s="149"/>
      <c r="CT565" s="149"/>
      <c r="CU565" s="149"/>
      <c r="CV565" s="149"/>
      <c r="CW565" s="149"/>
      <c r="CX565" s="149"/>
      <c r="CY565" s="149"/>
      <c r="CZ565" s="149"/>
      <c r="DA565" s="149"/>
      <c r="DB565" s="149"/>
      <c r="DC565" s="149"/>
      <c r="DD565" s="149"/>
    </row>
    <row r="566" spans="1:108" x14ac:dyDescent="0.35">
      <c r="A566" s="149"/>
      <c r="E566" s="149"/>
      <c r="F566" s="149"/>
      <c r="G566" s="149"/>
      <c r="H566" s="149"/>
      <c r="I566" s="149"/>
      <c r="J566" s="149"/>
      <c r="K566" s="149"/>
      <c r="L566" s="149"/>
      <c r="M566" s="149"/>
      <c r="N566" s="149"/>
      <c r="O566" s="149"/>
      <c r="P566" s="149"/>
      <c r="Q566" s="149"/>
      <c r="R566" s="149"/>
      <c r="S566" s="149"/>
      <c r="T566" s="149"/>
      <c r="U566" s="149"/>
      <c r="V566" s="149"/>
      <c r="W566" s="149"/>
      <c r="X566" s="149"/>
      <c r="Y566" s="149"/>
      <c r="Z566" s="149"/>
      <c r="AA566" s="149"/>
      <c r="AB566" s="149"/>
      <c r="AC566" s="149"/>
      <c r="AD566" s="149"/>
      <c r="AE566" s="149"/>
      <c r="AF566" s="149"/>
      <c r="AG566" s="149"/>
      <c r="AH566" s="149"/>
      <c r="AI566" s="149"/>
      <c r="AJ566" s="149"/>
      <c r="AK566" s="149"/>
      <c r="AL566" s="149"/>
      <c r="AM566" s="149"/>
      <c r="AN566" s="149"/>
      <c r="AO566" s="149"/>
      <c r="AP566" s="149"/>
      <c r="AQ566" s="149"/>
      <c r="AR566" s="149"/>
      <c r="AS566" s="149"/>
      <c r="AT566" s="149"/>
      <c r="AU566" s="149"/>
      <c r="AV566" s="149"/>
      <c r="AW566" s="149"/>
      <c r="AX566" s="149"/>
      <c r="AY566" s="149"/>
      <c r="AZ566" s="149"/>
      <c r="BA566" s="149"/>
      <c r="BB566" s="149"/>
      <c r="BC566" s="149"/>
      <c r="BD566" s="149"/>
      <c r="BE566" s="149"/>
      <c r="BF566" s="149"/>
      <c r="BG566" s="149"/>
      <c r="BH566" s="149"/>
      <c r="BI566" s="149"/>
      <c r="BJ566" s="149"/>
      <c r="BK566" s="149"/>
      <c r="BL566" s="149"/>
      <c r="BM566" s="149"/>
      <c r="BN566" s="149"/>
      <c r="BO566" s="149"/>
      <c r="BP566" s="149"/>
      <c r="BQ566" s="149"/>
      <c r="BR566" s="149"/>
      <c r="BS566" s="149"/>
      <c r="BT566" s="149"/>
      <c r="BU566" s="149"/>
      <c r="BV566" s="149"/>
      <c r="BW566" s="149"/>
      <c r="BX566" s="149"/>
      <c r="BY566" s="149"/>
      <c r="BZ566" s="149"/>
      <c r="CA566" s="149"/>
      <c r="CB566" s="149"/>
      <c r="CC566" s="149"/>
      <c r="CD566" s="149"/>
      <c r="CE566" s="149"/>
      <c r="CF566" s="149"/>
      <c r="CG566" s="149"/>
      <c r="CH566" s="149"/>
      <c r="CI566" s="149"/>
      <c r="CJ566" s="149"/>
      <c r="CK566" s="149"/>
      <c r="CL566" s="149"/>
      <c r="CM566" s="149"/>
      <c r="CN566" s="149"/>
      <c r="CO566" s="149"/>
      <c r="CP566" s="149"/>
      <c r="CQ566" s="149"/>
      <c r="CR566" s="149"/>
      <c r="CS566" s="149"/>
      <c r="CT566" s="149"/>
      <c r="CU566" s="149"/>
      <c r="CV566" s="149"/>
      <c r="CW566" s="149"/>
      <c r="CX566" s="149"/>
      <c r="CY566" s="149"/>
      <c r="CZ566" s="149"/>
      <c r="DA566" s="149"/>
      <c r="DB566" s="149"/>
      <c r="DC566" s="149"/>
      <c r="DD566" s="149"/>
    </row>
    <row r="567" spans="1:108" x14ac:dyDescent="0.35">
      <c r="A567" s="149"/>
      <c r="E567" s="149"/>
      <c r="F567" s="149"/>
      <c r="G567" s="149"/>
      <c r="H567" s="149"/>
      <c r="I567" s="149"/>
      <c r="J567" s="149"/>
      <c r="K567" s="149"/>
      <c r="L567" s="149"/>
      <c r="M567" s="149"/>
      <c r="N567" s="149"/>
      <c r="O567" s="149"/>
      <c r="P567" s="149"/>
      <c r="Q567" s="149"/>
      <c r="R567" s="149"/>
      <c r="S567" s="149"/>
      <c r="T567" s="149"/>
      <c r="U567" s="149"/>
      <c r="V567" s="149"/>
      <c r="W567" s="149"/>
      <c r="X567" s="149"/>
      <c r="Y567" s="149"/>
      <c r="Z567" s="149"/>
      <c r="AA567" s="149"/>
      <c r="AB567" s="149"/>
      <c r="AC567" s="149"/>
      <c r="AD567" s="149"/>
      <c r="AE567" s="149"/>
      <c r="AF567" s="149"/>
      <c r="AG567" s="149"/>
      <c r="AH567" s="149"/>
      <c r="AI567" s="149"/>
      <c r="AJ567" s="149"/>
      <c r="AK567" s="149"/>
      <c r="AL567" s="149"/>
      <c r="AM567" s="149"/>
      <c r="AN567" s="149"/>
      <c r="AO567" s="149"/>
      <c r="AP567" s="149"/>
      <c r="AQ567" s="149"/>
      <c r="AR567" s="149"/>
      <c r="AS567" s="149"/>
      <c r="AT567" s="149"/>
      <c r="AU567" s="149"/>
      <c r="AV567" s="149"/>
      <c r="AW567" s="149"/>
      <c r="AX567" s="149"/>
      <c r="AY567" s="149"/>
      <c r="AZ567" s="149"/>
      <c r="BA567" s="149"/>
      <c r="BB567" s="149"/>
      <c r="BC567" s="149"/>
      <c r="BD567" s="149"/>
      <c r="BE567" s="149"/>
      <c r="BF567" s="149"/>
      <c r="BG567" s="149"/>
      <c r="BH567" s="149"/>
      <c r="BI567" s="149"/>
      <c r="BJ567" s="149"/>
      <c r="BK567" s="149"/>
      <c r="BL567" s="149"/>
      <c r="BM567" s="149"/>
      <c r="BN567" s="149"/>
      <c r="BO567" s="149"/>
      <c r="BP567" s="149"/>
      <c r="BQ567" s="149"/>
      <c r="BR567" s="149"/>
      <c r="BS567" s="149"/>
      <c r="BT567" s="149"/>
      <c r="BU567" s="149"/>
      <c r="BV567" s="149"/>
      <c r="BW567" s="149"/>
      <c r="BX567" s="149"/>
      <c r="BY567" s="149"/>
      <c r="BZ567" s="149"/>
      <c r="CA567" s="149"/>
      <c r="CB567" s="149"/>
      <c r="CC567" s="149"/>
      <c r="CD567" s="149"/>
      <c r="CE567" s="149"/>
      <c r="CF567" s="149"/>
      <c r="CG567" s="149"/>
      <c r="CH567" s="149"/>
      <c r="CI567" s="149"/>
      <c r="CJ567" s="149"/>
      <c r="CK567" s="149"/>
      <c r="CL567" s="149"/>
      <c r="CM567" s="149"/>
      <c r="CN567" s="149"/>
      <c r="CO567" s="149"/>
      <c r="CP567" s="149"/>
      <c r="CQ567" s="149"/>
      <c r="CR567" s="149"/>
      <c r="CS567" s="149"/>
      <c r="CT567" s="149"/>
      <c r="CU567" s="149"/>
      <c r="CV567" s="149"/>
      <c r="CW567" s="149"/>
      <c r="CX567" s="149"/>
      <c r="CY567" s="149"/>
      <c r="CZ567" s="149"/>
      <c r="DA567" s="149"/>
      <c r="DB567" s="149"/>
      <c r="DC567" s="149"/>
      <c r="DD567" s="149"/>
    </row>
    <row r="568" spans="1:108" x14ac:dyDescent="0.35">
      <c r="A568" s="149"/>
      <c r="E568" s="149"/>
      <c r="F568" s="149"/>
      <c r="G568" s="149"/>
      <c r="H568" s="149"/>
      <c r="I568" s="149"/>
      <c r="J568" s="149"/>
      <c r="K568" s="149"/>
      <c r="L568" s="149"/>
      <c r="M568" s="149"/>
      <c r="N568" s="149"/>
      <c r="O568" s="149"/>
      <c r="P568" s="149"/>
      <c r="Q568" s="149"/>
      <c r="R568" s="149"/>
      <c r="S568" s="149"/>
      <c r="T568" s="149"/>
      <c r="U568" s="149"/>
      <c r="V568" s="149"/>
      <c r="W568" s="149"/>
      <c r="X568" s="149"/>
      <c r="Y568" s="149"/>
      <c r="Z568" s="149"/>
      <c r="AA568" s="149"/>
      <c r="AB568" s="149"/>
      <c r="AC568" s="149"/>
      <c r="AD568" s="149"/>
      <c r="AE568" s="149"/>
      <c r="AF568" s="149"/>
      <c r="AG568" s="149"/>
      <c r="AH568" s="149"/>
      <c r="AI568" s="149"/>
      <c r="AJ568" s="149"/>
      <c r="AK568" s="149"/>
      <c r="AL568" s="149"/>
      <c r="AM568" s="149"/>
      <c r="AN568" s="149"/>
      <c r="AO568" s="149"/>
      <c r="AP568" s="149"/>
      <c r="AQ568" s="149"/>
      <c r="AR568" s="149"/>
      <c r="AS568" s="149"/>
      <c r="AT568" s="149"/>
      <c r="AU568" s="149"/>
      <c r="AV568" s="149"/>
      <c r="AW568" s="149"/>
      <c r="AX568" s="149"/>
      <c r="AY568" s="149"/>
      <c r="AZ568" s="149"/>
      <c r="BA568" s="149"/>
      <c r="BB568" s="149"/>
      <c r="BC568" s="149"/>
      <c r="BD568" s="149"/>
      <c r="BE568" s="149"/>
      <c r="BF568" s="149"/>
      <c r="BG568" s="149"/>
      <c r="BH568" s="149"/>
      <c r="BI568" s="149"/>
      <c r="BJ568" s="149"/>
      <c r="BK568" s="149"/>
      <c r="BL568" s="149"/>
      <c r="BM568" s="149"/>
      <c r="BN568" s="149"/>
      <c r="BO568" s="149"/>
      <c r="BP568" s="149"/>
      <c r="BQ568" s="149"/>
      <c r="BR568" s="149"/>
      <c r="BS568" s="149"/>
      <c r="BT568" s="149"/>
      <c r="BU568" s="149"/>
      <c r="BV568" s="149"/>
      <c r="BW568" s="149"/>
      <c r="BX568" s="149"/>
      <c r="BY568" s="149"/>
      <c r="BZ568" s="149"/>
      <c r="CA568" s="149"/>
      <c r="CB568" s="149"/>
      <c r="CC568" s="149"/>
      <c r="CD568" s="149"/>
      <c r="CE568" s="149"/>
      <c r="CF568" s="149"/>
      <c r="CG568" s="149"/>
      <c r="CH568" s="149"/>
      <c r="CI568" s="149"/>
      <c r="CJ568" s="149"/>
      <c r="CK568" s="149"/>
      <c r="CL568" s="149"/>
      <c r="CM568" s="149"/>
      <c r="CN568" s="149"/>
      <c r="CO568" s="149"/>
      <c r="CP568" s="149"/>
      <c r="CQ568" s="149"/>
      <c r="CR568" s="149"/>
      <c r="CS568" s="149"/>
      <c r="CT568" s="149"/>
      <c r="CU568" s="149"/>
      <c r="CV568" s="149"/>
      <c r="CW568" s="149"/>
      <c r="CX568" s="149"/>
      <c r="CY568" s="149"/>
      <c r="CZ568" s="149"/>
      <c r="DA568" s="149"/>
      <c r="DB568" s="149"/>
      <c r="DC568" s="149"/>
      <c r="DD568" s="149"/>
    </row>
    <row r="569" spans="1:108" x14ac:dyDescent="0.35">
      <c r="A569" s="149"/>
      <c r="E569" s="149"/>
      <c r="F569" s="149"/>
      <c r="G569" s="149"/>
      <c r="H569" s="149"/>
      <c r="I569" s="149"/>
      <c r="J569" s="149"/>
      <c r="K569" s="149"/>
      <c r="L569" s="149"/>
      <c r="M569" s="149"/>
      <c r="N569" s="149"/>
      <c r="O569" s="149"/>
      <c r="P569" s="149"/>
      <c r="Q569" s="149"/>
      <c r="R569" s="149"/>
      <c r="S569" s="149"/>
      <c r="T569" s="149"/>
      <c r="U569" s="149"/>
      <c r="V569" s="149"/>
      <c r="W569" s="149"/>
      <c r="X569" s="149"/>
      <c r="Y569" s="149"/>
      <c r="Z569" s="149"/>
      <c r="AA569" s="149"/>
      <c r="AB569" s="149"/>
      <c r="AC569" s="149"/>
      <c r="AD569" s="149"/>
      <c r="AE569" s="149"/>
      <c r="AF569" s="149"/>
      <c r="AG569" s="149"/>
      <c r="AH569" s="149"/>
      <c r="AI569" s="149"/>
      <c r="AJ569" s="149"/>
      <c r="AK569" s="149"/>
      <c r="AL569" s="149"/>
      <c r="AM569" s="149"/>
      <c r="AN569" s="149"/>
      <c r="AO569" s="149"/>
      <c r="AP569" s="149"/>
      <c r="AQ569" s="149"/>
      <c r="AR569" s="149"/>
      <c r="AS569" s="149"/>
      <c r="AT569" s="149"/>
      <c r="AU569" s="149"/>
      <c r="AV569" s="149"/>
      <c r="AW569" s="149"/>
      <c r="AX569" s="149"/>
      <c r="AY569" s="149"/>
      <c r="AZ569" s="149"/>
      <c r="BA569" s="149"/>
      <c r="BB569" s="149"/>
      <c r="BC569" s="149"/>
      <c r="BD569" s="149"/>
      <c r="BE569" s="149"/>
      <c r="BF569" s="149"/>
      <c r="BG569" s="149"/>
      <c r="BH569" s="149"/>
      <c r="BI569" s="149"/>
      <c r="BJ569" s="149"/>
      <c r="BK569" s="149"/>
      <c r="BL569" s="149"/>
      <c r="BM569" s="149"/>
      <c r="BN569" s="149"/>
      <c r="BO569" s="149"/>
      <c r="BP569" s="149"/>
      <c r="BQ569" s="149"/>
      <c r="BR569" s="149"/>
      <c r="BS569" s="149"/>
      <c r="BT569" s="149"/>
      <c r="BU569" s="149"/>
      <c r="BV569" s="149"/>
      <c r="BW569" s="149"/>
      <c r="BX569" s="149"/>
      <c r="BY569" s="149"/>
      <c r="BZ569" s="149"/>
      <c r="CA569" s="149"/>
      <c r="CB569" s="149"/>
      <c r="CC569" s="149"/>
      <c r="CD569" s="149"/>
      <c r="CE569" s="149"/>
      <c r="CF569" s="149"/>
      <c r="CG569" s="149"/>
      <c r="CH569" s="149"/>
      <c r="CI569" s="149"/>
      <c r="CJ569" s="149"/>
      <c r="CK569" s="149"/>
      <c r="CL569" s="149"/>
      <c r="CM569" s="149"/>
      <c r="CN569" s="149"/>
      <c r="CO569" s="149"/>
      <c r="CP569" s="149"/>
      <c r="CQ569" s="149"/>
      <c r="CR569" s="149"/>
      <c r="CS569" s="149"/>
      <c r="CT569" s="149"/>
      <c r="CU569" s="149"/>
      <c r="CV569" s="149"/>
      <c r="CW569" s="149"/>
      <c r="CX569" s="149"/>
      <c r="CY569" s="149"/>
      <c r="CZ569" s="149"/>
      <c r="DA569" s="149"/>
      <c r="DB569" s="149"/>
      <c r="DC569" s="149"/>
      <c r="DD569" s="149"/>
    </row>
    <row r="570" spans="1:108" x14ac:dyDescent="0.35">
      <c r="A570" s="149"/>
      <c r="E570" s="149"/>
      <c r="F570" s="149"/>
      <c r="G570" s="149"/>
      <c r="H570" s="149"/>
      <c r="I570" s="149"/>
      <c r="J570" s="149"/>
      <c r="K570" s="149"/>
      <c r="L570" s="149"/>
      <c r="M570" s="149"/>
      <c r="N570" s="149"/>
      <c r="O570" s="149"/>
      <c r="P570" s="149"/>
      <c r="Q570" s="149"/>
      <c r="R570" s="149"/>
      <c r="S570" s="149"/>
      <c r="T570" s="149"/>
      <c r="U570" s="149"/>
      <c r="V570" s="149"/>
      <c r="W570" s="149"/>
      <c r="X570" s="149"/>
      <c r="Y570" s="149"/>
      <c r="Z570" s="149"/>
      <c r="AA570" s="149"/>
      <c r="AB570" s="149"/>
      <c r="AC570" s="149"/>
      <c r="AD570" s="149"/>
      <c r="AE570" s="149"/>
      <c r="AF570" s="149"/>
      <c r="AG570" s="149"/>
      <c r="AH570" s="149"/>
      <c r="AI570" s="149"/>
      <c r="AJ570" s="149"/>
      <c r="AK570" s="149"/>
      <c r="AL570" s="149"/>
      <c r="AM570" s="149"/>
      <c r="AN570" s="149"/>
      <c r="AO570" s="149"/>
      <c r="AP570" s="149"/>
      <c r="AQ570" s="149"/>
      <c r="AR570" s="149"/>
      <c r="AS570" s="149"/>
      <c r="AT570" s="149"/>
      <c r="AU570" s="149"/>
      <c r="AV570" s="149"/>
      <c r="AW570" s="149"/>
      <c r="AX570" s="149"/>
      <c r="AY570" s="149"/>
      <c r="AZ570" s="149"/>
      <c r="BA570" s="149"/>
      <c r="BB570" s="149"/>
      <c r="BC570" s="149"/>
      <c r="BD570" s="149"/>
      <c r="BE570" s="149"/>
      <c r="BF570" s="149"/>
      <c r="BG570" s="149"/>
      <c r="BH570" s="149"/>
      <c r="BI570" s="149"/>
      <c r="BJ570" s="149"/>
      <c r="BK570" s="149"/>
      <c r="BL570" s="149"/>
      <c r="BM570" s="149"/>
      <c r="BN570" s="149"/>
      <c r="BO570" s="149"/>
      <c r="BP570" s="149"/>
      <c r="BQ570" s="149"/>
      <c r="BR570" s="149"/>
      <c r="BS570" s="149"/>
      <c r="BT570" s="149"/>
      <c r="BU570" s="149"/>
      <c r="BV570" s="149"/>
      <c r="BW570" s="149"/>
      <c r="BX570" s="149"/>
      <c r="BY570" s="149"/>
      <c r="BZ570" s="149"/>
      <c r="CA570" s="149"/>
      <c r="CB570" s="149"/>
      <c r="CC570" s="149"/>
      <c r="CD570" s="149"/>
      <c r="CE570" s="149"/>
      <c r="CF570" s="149"/>
      <c r="CG570" s="149"/>
      <c r="CH570" s="149"/>
      <c r="CI570" s="149"/>
      <c r="CJ570" s="149"/>
      <c r="CK570" s="149"/>
      <c r="CL570" s="149"/>
      <c r="CM570" s="149"/>
      <c r="CN570" s="149"/>
      <c r="CO570" s="149"/>
      <c r="CP570" s="149"/>
      <c r="CQ570" s="149"/>
      <c r="CR570" s="149"/>
      <c r="CS570" s="149"/>
      <c r="CT570" s="149"/>
      <c r="CU570" s="149"/>
      <c r="CV570" s="149"/>
      <c r="CW570" s="149"/>
      <c r="CX570" s="149"/>
      <c r="CY570" s="149"/>
      <c r="CZ570" s="149"/>
      <c r="DA570" s="149"/>
      <c r="DB570" s="149"/>
      <c r="DC570" s="149"/>
      <c r="DD570" s="149"/>
    </row>
    <row r="571" spans="1:108" x14ac:dyDescent="0.35">
      <c r="A571" s="149"/>
      <c r="E571" s="149"/>
      <c r="F571" s="149"/>
      <c r="G571" s="149"/>
      <c r="H571" s="149"/>
      <c r="I571" s="149"/>
      <c r="J571" s="149"/>
      <c r="K571" s="149"/>
      <c r="L571" s="149"/>
      <c r="M571" s="149"/>
      <c r="N571" s="149"/>
      <c r="O571" s="149"/>
      <c r="P571" s="149"/>
      <c r="Q571" s="149"/>
      <c r="R571" s="149"/>
      <c r="S571" s="149"/>
      <c r="T571" s="149"/>
      <c r="U571" s="149"/>
      <c r="V571" s="149"/>
      <c r="W571" s="149"/>
      <c r="X571" s="149"/>
      <c r="Y571" s="149"/>
      <c r="Z571" s="149"/>
      <c r="AA571" s="149"/>
      <c r="AB571" s="149"/>
      <c r="AC571" s="149"/>
      <c r="AD571" s="149"/>
      <c r="AE571" s="149"/>
      <c r="AF571" s="149"/>
      <c r="AG571" s="149"/>
      <c r="AH571" s="149"/>
      <c r="AI571" s="149"/>
      <c r="AJ571" s="149"/>
      <c r="AK571" s="149"/>
      <c r="AL571" s="149"/>
      <c r="AM571" s="149"/>
      <c r="AN571" s="149"/>
      <c r="AO571" s="149"/>
      <c r="AP571" s="149"/>
      <c r="AQ571" s="149"/>
      <c r="AR571" s="149"/>
      <c r="AS571" s="149"/>
      <c r="AT571" s="149"/>
      <c r="AU571" s="149"/>
      <c r="AV571" s="149"/>
      <c r="AW571" s="149"/>
      <c r="AX571" s="149"/>
      <c r="AY571" s="149"/>
      <c r="AZ571" s="149"/>
      <c r="BA571" s="149"/>
      <c r="BB571" s="149"/>
      <c r="BC571" s="149"/>
      <c r="BD571" s="149"/>
      <c r="BE571" s="149"/>
      <c r="BF571" s="149"/>
      <c r="BG571" s="149"/>
      <c r="BH571" s="149"/>
      <c r="BI571" s="149"/>
      <c r="BJ571" s="149"/>
      <c r="BK571" s="149"/>
      <c r="BL571" s="149"/>
      <c r="BM571" s="149"/>
      <c r="BN571" s="149"/>
      <c r="BO571" s="149"/>
      <c r="BP571" s="149"/>
      <c r="BQ571" s="149"/>
      <c r="BR571" s="149"/>
      <c r="BS571" s="149"/>
      <c r="BT571" s="149"/>
      <c r="BU571" s="149"/>
      <c r="BV571" s="149"/>
      <c r="BW571" s="149"/>
      <c r="BX571" s="149"/>
      <c r="BY571" s="149"/>
      <c r="BZ571" s="149"/>
      <c r="CA571" s="149"/>
      <c r="CB571" s="149"/>
      <c r="CC571" s="149"/>
      <c r="CD571" s="149"/>
      <c r="CE571" s="149"/>
      <c r="CF571" s="149"/>
      <c r="CG571" s="149"/>
      <c r="CH571" s="149"/>
      <c r="CI571" s="149"/>
      <c r="CJ571" s="149"/>
      <c r="CK571" s="149"/>
      <c r="CL571" s="149"/>
      <c r="CM571" s="149"/>
      <c r="CN571" s="149"/>
      <c r="CO571" s="149"/>
      <c r="CP571" s="149"/>
      <c r="CQ571" s="149"/>
      <c r="CR571" s="149"/>
      <c r="CS571" s="149"/>
      <c r="CT571" s="149"/>
      <c r="CU571" s="149"/>
      <c r="CV571" s="149"/>
      <c r="CW571" s="149"/>
      <c r="CX571" s="149"/>
      <c r="CY571" s="149"/>
      <c r="CZ571" s="149"/>
      <c r="DA571" s="149"/>
      <c r="DB571" s="149"/>
      <c r="DC571" s="149"/>
      <c r="DD571" s="149"/>
    </row>
    <row r="572" spans="1:108" x14ac:dyDescent="0.35">
      <c r="A572" s="149"/>
      <c r="E572" s="149"/>
      <c r="F572" s="149"/>
      <c r="G572" s="149"/>
      <c r="H572" s="149"/>
      <c r="I572" s="149"/>
      <c r="J572" s="149"/>
      <c r="K572" s="149"/>
      <c r="L572" s="149"/>
      <c r="M572" s="149"/>
      <c r="N572" s="149"/>
      <c r="O572" s="149"/>
      <c r="P572" s="149"/>
      <c r="Q572" s="149"/>
      <c r="R572" s="149"/>
      <c r="S572" s="149"/>
      <c r="T572" s="149"/>
      <c r="U572" s="149"/>
      <c r="V572" s="149"/>
      <c r="W572" s="149"/>
      <c r="X572" s="149"/>
      <c r="Y572" s="149"/>
      <c r="Z572" s="149"/>
      <c r="AA572" s="149"/>
      <c r="AB572" s="149"/>
      <c r="AC572" s="149"/>
      <c r="AD572" s="149"/>
      <c r="AE572" s="149"/>
      <c r="AF572" s="149"/>
      <c r="AG572" s="149"/>
      <c r="AH572" s="149"/>
      <c r="AI572" s="149"/>
      <c r="AJ572" s="149"/>
      <c r="AK572" s="149"/>
      <c r="AL572" s="149"/>
      <c r="AM572" s="149"/>
      <c r="AN572" s="149"/>
      <c r="AO572" s="149"/>
      <c r="AP572" s="149"/>
      <c r="AQ572" s="149"/>
      <c r="AR572" s="149"/>
      <c r="AS572" s="149"/>
      <c r="AT572" s="149"/>
      <c r="AU572" s="149"/>
      <c r="AV572" s="149"/>
      <c r="AW572" s="149"/>
      <c r="AX572" s="149"/>
      <c r="AY572" s="149"/>
      <c r="AZ572" s="149"/>
      <c r="BA572" s="149"/>
      <c r="BB572" s="149"/>
      <c r="BC572" s="149"/>
      <c r="BD572" s="149"/>
      <c r="BE572" s="149"/>
      <c r="BF572" s="149"/>
      <c r="BG572" s="149"/>
      <c r="BH572" s="149"/>
      <c r="BI572" s="149"/>
      <c r="BJ572" s="149"/>
      <c r="BK572" s="149"/>
      <c r="BL572" s="149"/>
      <c r="BM572" s="149"/>
      <c r="BN572" s="149"/>
      <c r="BO572" s="149"/>
      <c r="BP572" s="149"/>
      <c r="BQ572" s="149"/>
      <c r="BR572" s="149"/>
      <c r="BS572" s="149"/>
      <c r="BT572" s="149"/>
      <c r="BU572" s="149"/>
      <c r="BV572" s="149"/>
      <c r="BW572" s="149"/>
      <c r="BX572" s="149"/>
      <c r="BY572" s="149"/>
      <c r="BZ572" s="149"/>
      <c r="CA572" s="149"/>
      <c r="CB572" s="149"/>
      <c r="CC572" s="149"/>
      <c r="CD572" s="149"/>
      <c r="CE572" s="149"/>
      <c r="CF572" s="149"/>
      <c r="CG572" s="149"/>
      <c r="CH572" s="149"/>
      <c r="CI572" s="149"/>
      <c r="CJ572" s="149"/>
      <c r="CK572" s="149"/>
      <c r="CL572" s="149"/>
      <c r="CM572" s="149"/>
      <c r="CN572" s="149"/>
      <c r="CO572" s="149"/>
      <c r="CP572" s="149"/>
      <c r="CQ572" s="149"/>
      <c r="CR572" s="149"/>
      <c r="CS572" s="149"/>
      <c r="CT572" s="149"/>
      <c r="CU572" s="149"/>
      <c r="CV572" s="149"/>
      <c r="CW572" s="149"/>
      <c r="CX572" s="149"/>
      <c r="CY572" s="149"/>
      <c r="CZ572" s="149"/>
      <c r="DA572" s="149"/>
      <c r="DB572" s="149"/>
      <c r="DC572" s="149"/>
      <c r="DD572" s="149"/>
    </row>
    <row r="573" spans="1:108" x14ac:dyDescent="0.35">
      <c r="A573" s="149"/>
      <c r="E573" s="149"/>
      <c r="F573" s="149"/>
      <c r="G573" s="149"/>
      <c r="H573" s="149"/>
      <c r="I573" s="149"/>
      <c r="J573" s="149"/>
      <c r="K573" s="149"/>
      <c r="L573" s="149"/>
      <c r="M573" s="149"/>
      <c r="N573" s="149"/>
      <c r="O573" s="149"/>
      <c r="P573" s="149"/>
      <c r="Q573" s="149"/>
      <c r="R573" s="149"/>
      <c r="S573" s="149"/>
      <c r="T573" s="149"/>
      <c r="U573" s="149"/>
      <c r="V573" s="149"/>
      <c r="W573" s="149"/>
      <c r="X573" s="149"/>
      <c r="Y573" s="149"/>
      <c r="Z573" s="149"/>
      <c r="AA573" s="149"/>
      <c r="AB573" s="149"/>
      <c r="AC573" s="149"/>
      <c r="AD573" s="149"/>
      <c r="AE573" s="149"/>
      <c r="AF573" s="149"/>
      <c r="AG573" s="149"/>
      <c r="AH573" s="149"/>
      <c r="AI573" s="149"/>
      <c r="AJ573" s="149"/>
      <c r="AK573" s="149"/>
      <c r="AL573" s="149"/>
      <c r="AM573" s="149"/>
      <c r="AN573" s="149"/>
      <c r="AO573" s="149"/>
      <c r="AP573" s="149"/>
      <c r="AQ573" s="149"/>
      <c r="AR573" s="149"/>
      <c r="AS573" s="149"/>
      <c r="AT573" s="149"/>
      <c r="AU573" s="149"/>
      <c r="AV573" s="149"/>
      <c r="AW573" s="149"/>
      <c r="AX573" s="149"/>
      <c r="AY573" s="149"/>
      <c r="AZ573" s="149"/>
      <c r="BA573" s="149"/>
      <c r="BB573" s="149"/>
      <c r="BC573" s="149"/>
      <c r="BD573" s="149"/>
      <c r="BE573" s="149"/>
      <c r="BF573" s="149"/>
      <c r="BG573" s="149"/>
      <c r="BH573" s="149"/>
      <c r="BI573" s="149"/>
      <c r="BJ573" s="149"/>
      <c r="BK573" s="149"/>
      <c r="BL573" s="149"/>
      <c r="BM573" s="149"/>
      <c r="BN573" s="149"/>
      <c r="BO573" s="149"/>
      <c r="BP573" s="149"/>
      <c r="BQ573" s="149"/>
      <c r="BR573" s="149"/>
      <c r="BS573" s="149"/>
      <c r="BT573" s="149"/>
      <c r="BU573" s="149"/>
      <c r="BV573" s="149"/>
      <c r="BW573" s="149"/>
      <c r="BX573" s="149"/>
      <c r="BY573" s="149"/>
      <c r="BZ573" s="149"/>
      <c r="CA573" s="149"/>
      <c r="CB573" s="149"/>
      <c r="CC573" s="149"/>
      <c r="CD573" s="149"/>
      <c r="CE573" s="149"/>
      <c r="CF573" s="149"/>
      <c r="CG573" s="149"/>
      <c r="CH573" s="149"/>
      <c r="CI573" s="149"/>
      <c r="CJ573" s="149"/>
      <c r="CK573" s="149"/>
      <c r="CL573" s="149"/>
      <c r="CM573" s="149"/>
      <c r="CN573" s="149"/>
      <c r="CO573" s="149"/>
      <c r="CP573" s="149"/>
      <c r="CQ573" s="149"/>
      <c r="CR573" s="149"/>
      <c r="CS573" s="149"/>
      <c r="CT573" s="149"/>
      <c r="CU573" s="149"/>
      <c r="CV573" s="149"/>
      <c r="CW573" s="149"/>
      <c r="CX573" s="149"/>
      <c r="CY573" s="149"/>
      <c r="CZ573" s="149"/>
      <c r="DA573" s="149"/>
      <c r="DB573" s="149"/>
      <c r="DC573" s="149"/>
      <c r="DD573" s="149"/>
    </row>
    <row r="574" spans="1:108" x14ac:dyDescent="0.35">
      <c r="A574" s="149"/>
      <c r="E574" s="149"/>
      <c r="F574" s="149"/>
      <c r="G574" s="149"/>
      <c r="H574" s="149"/>
      <c r="I574" s="149"/>
      <c r="J574" s="149"/>
      <c r="K574" s="149"/>
      <c r="L574" s="149"/>
      <c r="M574" s="149"/>
      <c r="N574" s="149"/>
      <c r="O574" s="149"/>
      <c r="P574" s="149"/>
      <c r="Q574" s="149"/>
      <c r="R574" s="149"/>
      <c r="S574" s="149"/>
      <c r="T574" s="149"/>
      <c r="U574" s="149"/>
      <c r="V574" s="149"/>
      <c r="W574" s="149"/>
      <c r="X574" s="149"/>
      <c r="Y574" s="149"/>
      <c r="Z574" s="149"/>
      <c r="AA574" s="149"/>
      <c r="AB574" s="149"/>
      <c r="AC574" s="149"/>
      <c r="AD574" s="149"/>
      <c r="AE574" s="149"/>
      <c r="AF574" s="149"/>
      <c r="AG574" s="149"/>
      <c r="AH574" s="149"/>
      <c r="AI574" s="149"/>
      <c r="AJ574" s="149"/>
      <c r="AK574" s="149"/>
      <c r="AL574" s="149"/>
      <c r="AM574" s="149"/>
      <c r="AN574" s="149"/>
      <c r="AO574" s="149"/>
      <c r="AP574" s="149"/>
      <c r="AQ574" s="149"/>
      <c r="AR574" s="149"/>
      <c r="AS574" s="149"/>
      <c r="AT574" s="149"/>
      <c r="AU574" s="149"/>
      <c r="AV574" s="149"/>
      <c r="AW574" s="149"/>
      <c r="AX574" s="149"/>
      <c r="AY574" s="149"/>
      <c r="AZ574" s="149"/>
      <c r="BA574" s="149"/>
      <c r="BB574" s="149"/>
      <c r="BC574" s="149"/>
      <c r="BD574" s="149"/>
      <c r="BE574" s="149"/>
      <c r="BF574" s="149"/>
      <c r="BG574" s="149"/>
      <c r="BH574" s="149"/>
      <c r="BI574" s="149"/>
      <c r="BJ574" s="149"/>
      <c r="BK574" s="149"/>
      <c r="BL574" s="149"/>
      <c r="BM574" s="149"/>
      <c r="BN574" s="149"/>
      <c r="BO574" s="149"/>
      <c r="BP574" s="149"/>
      <c r="BQ574" s="149"/>
      <c r="BR574" s="149"/>
      <c r="BS574" s="149"/>
      <c r="BT574" s="149"/>
      <c r="BU574" s="149"/>
      <c r="BV574" s="149"/>
      <c r="BW574" s="149"/>
      <c r="BX574" s="149"/>
      <c r="BY574" s="149"/>
      <c r="BZ574" s="149"/>
      <c r="CA574" s="149"/>
      <c r="CB574" s="149"/>
      <c r="CC574" s="149"/>
      <c r="CD574" s="149"/>
      <c r="CE574" s="149"/>
      <c r="CF574" s="149"/>
      <c r="CG574" s="149"/>
      <c r="CH574" s="149"/>
      <c r="CI574" s="149"/>
      <c r="CJ574" s="149"/>
      <c r="CK574" s="149"/>
      <c r="CL574" s="149"/>
      <c r="CM574" s="149"/>
      <c r="CN574" s="149"/>
      <c r="CO574" s="149"/>
      <c r="CP574" s="149"/>
      <c r="CQ574" s="149"/>
      <c r="CR574" s="149"/>
      <c r="CS574" s="149"/>
      <c r="CT574" s="149"/>
      <c r="CU574" s="149"/>
      <c r="CV574" s="149"/>
      <c r="CW574" s="149"/>
      <c r="CX574" s="149"/>
      <c r="CY574" s="149"/>
      <c r="CZ574" s="149"/>
      <c r="DA574" s="149"/>
      <c r="DB574" s="149"/>
      <c r="DC574" s="149"/>
      <c r="DD574" s="149"/>
    </row>
    <row r="575" spans="1:108" x14ac:dyDescent="0.35">
      <c r="A575" s="149"/>
      <c r="E575" s="149"/>
      <c r="F575" s="149"/>
      <c r="G575" s="149"/>
      <c r="H575" s="149"/>
      <c r="I575" s="149"/>
      <c r="J575" s="149"/>
      <c r="K575" s="149"/>
      <c r="L575" s="149"/>
      <c r="M575" s="149"/>
      <c r="N575" s="149"/>
      <c r="O575" s="149"/>
      <c r="P575" s="149"/>
      <c r="Q575" s="149"/>
      <c r="R575" s="149"/>
      <c r="S575" s="149"/>
      <c r="T575" s="149"/>
      <c r="U575" s="149"/>
      <c r="V575" s="149"/>
      <c r="W575" s="149"/>
      <c r="X575" s="149"/>
      <c r="Y575" s="149"/>
      <c r="Z575" s="149"/>
      <c r="AA575" s="149"/>
      <c r="AB575" s="149"/>
      <c r="AC575" s="149"/>
      <c r="AD575" s="149"/>
      <c r="AE575" s="149"/>
      <c r="AF575" s="149"/>
      <c r="AG575" s="149"/>
      <c r="AH575" s="149"/>
      <c r="AI575" s="149"/>
      <c r="AJ575" s="149"/>
      <c r="AK575" s="149"/>
      <c r="AL575" s="149"/>
      <c r="AM575" s="149"/>
      <c r="AN575" s="149"/>
      <c r="AO575" s="149"/>
      <c r="AP575" s="149"/>
      <c r="AQ575" s="149"/>
      <c r="AR575" s="149"/>
      <c r="AS575" s="149"/>
      <c r="AT575" s="149"/>
      <c r="AU575" s="149"/>
      <c r="AV575" s="149"/>
      <c r="AW575" s="149"/>
      <c r="AX575" s="149"/>
      <c r="AY575" s="149"/>
      <c r="AZ575" s="149"/>
      <c r="BA575" s="149"/>
      <c r="BB575" s="149"/>
      <c r="BC575" s="149"/>
      <c r="BD575" s="149"/>
      <c r="BE575" s="149"/>
      <c r="BF575" s="149"/>
      <c r="BG575" s="149"/>
      <c r="BH575" s="149"/>
      <c r="BI575" s="149"/>
      <c r="BJ575" s="149"/>
      <c r="BK575" s="149"/>
      <c r="BL575" s="149"/>
      <c r="BM575" s="149"/>
      <c r="BN575" s="149"/>
      <c r="BO575" s="149"/>
      <c r="BP575" s="149"/>
      <c r="BQ575" s="149"/>
      <c r="BR575" s="149"/>
      <c r="BS575" s="149"/>
      <c r="BT575" s="149"/>
      <c r="BU575" s="149"/>
      <c r="BV575" s="149"/>
      <c r="BW575" s="149"/>
      <c r="BX575" s="149"/>
      <c r="BY575" s="149"/>
      <c r="BZ575" s="149"/>
      <c r="CA575" s="149"/>
      <c r="CB575" s="149"/>
      <c r="CC575" s="149"/>
      <c r="CD575" s="149"/>
      <c r="CE575" s="149"/>
      <c r="CF575" s="149"/>
      <c r="CG575" s="149"/>
      <c r="CH575" s="149"/>
      <c r="CI575" s="149"/>
      <c r="CJ575" s="149"/>
      <c r="CK575" s="149"/>
      <c r="CL575" s="149"/>
      <c r="CM575" s="149"/>
      <c r="CN575" s="149"/>
      <c r="CO575" s="149"/>
      <c r="CP575" s="149"/>
      <c r="CQ575" s="149"/>
      <c r="CR575" s="149"/>
      <c r="CS575" s="149"/>
      <c r="CT575" s="149"/>
      <c r="CU575" s="149"/>
      <c r="CV575" s="149"/>
      <c r="CW575" s="149"/>
      <c r="CX575" s="149"/>
      <c r="CY575" s="149"/>
      <c r="CZ575" s="149"/>
      <c r="DA575" s="149"/>
      <c r="DB575" s="149"/>
      <c r="DC575" s="149"/>
      <c r="DD575" s="149"/>
    </row>
    <row r="576" spans="1:108" x14ac:dyDescent="0.35">
      <c r="A576" s="149"/>
      <c r="E576" s="149"/>
      <c r="F576" s="149"/>
      <c r="G576" s="149"/>
      <c r="H576" s="149"/>
      <c r="I576" s="149"/>
      <c r="J576" s="149"/>
      <c r="K576" s="149"/>
      <c r="L576" s="149"/>
      <c r="M576" s="149"/>
      <c r="N576" s="149"/>
      <c r="O576" s="149"/>
      <c r="P576" s="149"/>
      <c r="Q576" s="149"/>
      <c r="R576" s="149"/>
      <c r="S576" s="149"/>
      <c r="T576" s="149"/>
      <c r="U576" s="149"/>
      <c r="V576" s="149"/>
      <c r="W576" s="149"/>
      <c r="X576" s="149"/>
      <c r="Y576" s="149"/>
      <c r="Z576" s="149"/>
      <c r="AA576" s="149"/>
      <c r="AB576" s="149"/>
      <c r="AC576" s="149"/>
      <c r="AD576" s="149"/>
      <c r="AE576" s="149"/>
      <c r="AF576" s="149"/>
      <c r="AG576" s="149"/>
      <c r="AH576" s="149"/>
      <c r="AI576" s="149"/>
      <c r="AJ576" s="149"/>
      <c r="AK576" s="149"/>
      <c r="AL576" s="149"/>
      <c r="AM576" s="149"/>
      <c r="AN576" s="149"/>
      <c r="AO576" s="149"/>
      <c r="AP576" s="149"/>
      <c r="AQ576" s="149"/>
      <c r="AR576" s="149"/>
      <c r="AS576" s="149"/>
      <c r="AT576" s="149"/>
      <c r="AU576" s="149"/>
      <c r="AV576" s="149"/>
      <c r="AW576" s="149"/>
      <c r="AX576" s="149"/>
      <c r="AY576" s="149"/>
      <c r="AZ576" s="149"/>
      <c r="BA576" s="149"/>
      <c r="BB576" s="149"/>
      <c r="BC576" s="149"/>
      <c r="BD576" s="149"/>
      <c r="BE576" s="149"/>
      <c r="BF576" s="149"/>
      <c r="BG576" s="149"/>
      <c r="BH576" s="149"/>
      <c r="BI576" s="149"/>
      <c r="BJ576" s="149"/>
      <c r="BK576" s="149"/>
      <c r="BL576" s="149"/>
      <c r="BM576" s="149"/>
      <c r="BN576" s="149"/>
      <c r="BO576" s="149"/>
      <c r="BP576" s="149"/>
      <c r="BQ576" s="149"/>
      <c r="BR576" s="149"/>
      <c r="BS576" s="149"/>
      <c r="BT576" s="149"/>
      <c r="BU576" s="149"/>
      <c r="BV576" s="149"/>
      <c r="BW576" s="149"/>
      <c r="BX576" s="149"/>
      <c r="BY576" s="149"/>
      <c r="BZ576" s="149"/>
      <c r="CA576" s="149"/>
      <c r="CB576" s="149"/>
      <c r="CC576" s="149"/>
      <c r="CD576" s="149"/>
      <c r="CE576" s="149"/>
      <c r="CF576" s="149"/>
      <c r="CG576" s="149"/>
      <c r="CH576" s="149"/>
      <c r="CI576" s="149"/>
      <c r="CJ576" s="149"/>
      <c r="CK576" s="149"/>
      <c r="CL576" s="149"/>
      <c r="CM576" s="149"/>
      <c r="CN576" s="149"/>
      <c r="CO576" s="149"/>
      <c r="CP576" s="149"/>
      <c r="CQ576" s="149"/>
      <c r="CR576" s="149"/>
      <c r="CS576" s="149"/>
      <c r="CT576" s="149"/>
      <c r="CU576" s="149"/>
      <c r="CV576" s="149"/>
      <c r="CW576" s="149"/>
      <c r="CX576" s="149"/>
      <c r="CY576" s="149"/>
      <c r="CZ576" s="149"/>
      <c r="DA576" s="149"/>
      <c r="DB576" s="149"/>
      <c r="DC576" s="149"/>
      <c r="DD576" s="149"/>
    </row>
    <row r="577" spans="1:70" x14ac:dyDescent="0.35">
      <c r="A577" s="149"/>
      <c r="E577" s="149"/>
      <c r="F577" s="149"/>
      <c r="G577" s="149"/>
      <c r="H577" s="149"/>
      <c r="I577" s="149"/>
      <c r="J577" s="149"/>
      <c r="K577" s="149"/>
      <c r="L577" s="149"/>
      <c r="M577" s="149"/>
      <c r="N577" s="149"/>
      <c r="O577" s="149"/>
      <c r="P577" s="149"/>
      <c r="Q577" s="149"/>
      <c r="R577" s="149"/>
      <c r="S577" s="149"/>
      <c r="T577" s="149"/>
      <c r="U577" s="149"/>
      <c r="V577" s="149"/>
      <c r="W577" s="149"/>
      <c r="X577" s="149"/>
      <c r="Y577" s="149"/>
      <c r="Z577" s="149"/>
      <c r="AA577" s="149"/>
      <c r="AB577" s="149"/>
      <c r="AC577" s="149"/>
      <c r="AD577" s="149"/>
      <c r="AE577" s="149"/>
      <c r="AF577" s="149"/>
      <c r="AG577" s="149"/>
      <c r="AH577" s="149"/>
      <c r="AI577" s="149"/>
      <c r="AJ577" s="149"/>
      <c r="AK577" s="149"/>
      <c r="AL577" s="149"/>
      <c r="AM577" s="149"/>
      <c r="AN577" s="149"/>
      <c r="AP577" s="2"/>
      <c r="AS577" s="19"/>
      <c r="BM577" s="19"/>
      <c r="BN577" s="2"/>
      <c r="BR577" s="19"/>
    </row>
    <row r="578" spans="1:70" x14ac:dyDescent="0.35">
      <c r="A578" s="149"/>
      <c r="E578" s="149"/>
      <c r="F578" s="149"/>
      <c r="G578" s="149"/>
      <c r="H578" s="149"/>
      <c r="I578" s="149"/>
      <c r="J578" s="149"/>
      <c r="K578" s="149"/>
      <c r="L578" s="149"/>
      <c r="M578" s="149"/>
      <c r="N578" s="149"/>
      <c r="O578" s="149"/>
      <c r="P578" s="149"/>
      <c r="Q578" s="149"/>
      <c r="R578" s="149"/>
      <c r="S578" s="149"/>
      <c r="T578" s="149"/>
      <c r="U578" s="149"/>
      <c r="V578" s="149"/>
      <c r="W578" s="149"/>
      <c r="X578" s="149"/>
      <c r="Y578" s="149"/>
      <c r="Z578" s="149"/>
      <c r="AA578" s="149"/>
      <c r="AB578" s="149"/>
      <c r="AC578" s="149"/>
      <c r="AD578" s="149"/>
      <c r="AE578" s="149"/>
      <c r="AF578" s="149"/>
      <c r="AG578" s="149"/>
      <c r="AH578" s="149"/>
      <c r="AI578" s="149"/>
      <c r="AJ578" s="149"/>
      <c r="AK578" s="149"/>
      <c r="AL578" s="149"/>
      <c r="AM578" s="149"/>
      <c r="AN578" s="149"/>
      <c r="AP578" s="2"/>
      <c r="AS578" s="19"/>
      <c r="BM578" s="19"/>
      <c r="BN578" s="2"/>
      <c r="BR578" s="19"/>
    </row>
    <row r="579" spans="1:70" x14ac:dyDescent="0.35">
      <c r="A579" s="149"/>
      <c r="E579" s="149"/>
      <c r="F579" s="149"/>
      <c r="G579" s="149"/>
      <c r="H579" s="149"/>
      <c r="I579" s="149"/>
      <c r="J579" s="149"/>
      <c r="K579" s="149"/>
      <c r="L579" s="149"/>
      <c r="M579" s="149"/>
      <c r="N579" s="149"/>
      <c r="O579" s="149"/>
      <c r="P579" s="149"/>
      <c r="Q579" s="149"/>
      <c r="R579" s="149"/>
      <c r="S579" s="149"/>
      <c r="T579" s="149"/>
      <c r="U579" s="149"/>
      <c r="V579" s="149"/>
      <c r="W579" s="149"/>
      <c r="X579" s="149"/>
      <c r="Y579" s="149"/>
      <c r="Z579" s="149"/>
      <c r="AA579" s="149"/>
      <c r="AB579" s="149"/>
      <c r="AC579" s="149"/>
      <c r="AD579" s="149"/>
      <c r="AE579" s="149"/>
      <c r="AF579" s="149"/>
      <c r="AG579" s="149"/>
      <c r="AH579" s="149"/>
      <c r="AI579" s="149"/>
      <c r="AJ579" s="149"/>
      <c r="AK579" s="149"/>
      <c r="AL579" s="149"/>
      <c r="AM579" s="149"/>
      <c r="AN579" s="149"/>
      <c r="AP579" s="2"/>
      <c r="AS579" s="19"/>
      <c r="BM579" s="19"/>
      <c r="BN579" s="2"/>
      <c r="BR579" s="19"/>
    </row>
    <row r="580" spans="1:70" x14ac:dyDescent="0.35">
      <c r="A580" s="149"/>
      <c r="E580" s="149"/>
      <c r="F580" s="149"/>
      <c r="G580" s="149"/>
      <c r="H580" s="149"/>
      <c r="I580" s="149"/>
      <c r="J580" s="149"/>
      <c r="K580" s="149"/>
      <c r="L580" s="149"/>
      <c r="M580" s="149"/>
      <c r="N580" s="149"/>
      <c r="O580" s="149"/>
      <c r="P580" s="149"/>
      <c r="Q580" s="149"/>
      <c r="R580" s="149"/>
      <c r="S580" s="149"/>
      <c r="T580" s="149"/>
      <c r="U580" s="149"/>
      <c r="V580" s="149"/>
      <c r="W580" s="149"/>
      <c r="X580" s="149"/>
      <c r="Y580" s="149"/>
      <c r="Z580" s="149"/>
      <c r="AA580" s="149"/>
      <c r="AB580" s="149"/>
      <c r="AC580" s="149"/>
      <c r="AD580" s="149"/>
      <c r="AE580" s="149"/>
      <c r="AF580" s="149"/>
      <c r="AG580" s="149"/>
      <c r="AH580" s="149"/>
      <c r="AI580" s="149"/>
      <c r="AJ580" s="149"/>
      <c r="AK580" s="149"/>
      <c r="AL580" s="149"/>
      <c r="AM580" s="149"/>
      <c r="AN580" s="149"/>
      <c r="AP580" s="2"/>
      <c r="AS580" s="19"/>
      <c r="BM580" s="19"/>
      <c r="BN580" s="2"/>
      <c r="BR580" s="19"/>
    </row>
    <row r="581" spans="1:70" x14ac:dyDescent="0.35">
      <c r="A581" s="149"/>
      <c r="E581" s="149"/>
      <c r="F581" s="149"/>
      <c r="G581" s="149"/>
      <c r="H581" s="149"/>
      <c r="I581" s="149"/>
      <c r="J581" s="149"/>
      <c r="K581" s="149"/>
      <c r="L581" s="149"/>
      <c r="M581" s="149"/>
      <c r="N581" s="149"/>
      <c r="O581" s="149"/>
      <c r="P581" s="149"/>
      <c r="Q581" s="149"/>
      <c r="R581" s="149"/>
      <c r="S581" s="149"/>
      <c r="T581" s="149"/>
      <c r="U581" s="149"/>
      <c r="V581" s="149"/>
      <c r="W581" s="149"/>
      <c r="X581" s="149"/>
      <c r="Y581" s="149"/>
      <c r="Z581" s="149"/>
      <c r="AA581" s="149"/>
      <c r="AB581" s="149"/>
      <c r="AC581" s="149"/>
      <c r="AD581" s="149"/>
      <c r="AE581" s="149"/>
      <c r="AF581" s="149"/>
      <c r="AG581" s="149"/>
      <c r="AH581" s="149"/>
      <c r="AI581" s="149"/>
      <c r="AJ581" s="149"/>
      <c r="AK581" s="149"/>
      <c r="AL581" s="149"/>
      <c r="AM581" s="149"/>
      <c r="AN581" s="149"/>
      <c r="AP581" s="2"/>
      <c r="AS581" s="19"/>
      <c r="BM581" s="19"/>
      <c r="BN581" s="2"/>
      <c r="BR581" s="19"/>
    </row>
    <row r="582" spans="1:70" x14ac:dyDescent="0.35">
      <c r="A582" s="149"/>
      <c r="E582" s="149"/>
      <c r="F582" s="149"/>
      <c r="G582" s="149"/>
      <c r="H582" s="149"/>
      <c r="I582" s="149"/>
      <c r="J582" s="149"/>
      <c r="K582" s="149"/>
      <c r="L582" s="149"/>
      <c r="M582" s="149"/>
      <c r="N582" s="149"/>
      <c r="O582" s="149"/>
      <c r="P582" s="149"/>
      <c r="Q582" s="149"/>
      <c r="R582" s="149"/>
      <c r="S582" s="149"/>
      <c r="T582" s="149"/>
      <c r="U582" s="149"/>
      <c r="V582" s="149"/>
      <c r="W582" s="149"/>
      <c r="X582" s="149"/>
      <c r="Y582" s="149"/>
      <c r="Z582" s="149"/>
      <c r="AA582" s="149"/>
      <c r="AB582" s="149"/>
      <c r="AC582" s="149"/>
      <c r="AD582" s="149"/>
      <c r="AE582" s="149"/>
      <c r="AF582" s="149"/>
      <c r="AG582" s="149"/>
      <c r="AH582" s="149"/>
      <c r="AI582" s="149"/>
      <c r="AJ582" s="149"/>
      <c r="AK582" s="149"/>
      <c r="AL582" s="149"/>
      <c r="AM582" s="149"/>
      <c r="AN582" s="149"/>
      <c r="AP582" s="2"/>
      <c r="AS582" s="19"/>
      <c r="BM582" s="19"/>
      <c r="BN582" s="2"/>
      <c r="BR582" s="19"/>
    </row>
    <row r="583" spans="1:70" x14ac:dyDescent="0.35">
      <c r="A583" s="149"/>
      <c r="E583" s="149"/>
      <c r="F583" s="149"/>
      <c r="G583" s="149"/>
      <c r="H583" s="149"/>
      <c r="I583" s="149"/>
      <c r="J583" s="149"/>
      <c r="K583" s="149"/>
      <c r="L583" s="149"/>
      <c r="M583" s="149"/>
      <c r="N583" s="149"/>
      <c r="O583" s="149"/>
      <c r="P583" s="149"/>
      <c r="Q583" s="149"/>
      <c r="R583" s="149"/>
      <c r="S583" s="149"/>
      <c r="T583" s="149"/>
      <c r="U583" s="149"/>
      <c r="V583" s="149"/>
      <c r="W583" s="149"/>
      <c r="X583" s="149"/>
      <c r="Y583" s="149"/>
      <c r="Z583" s="149"/>
      <c r="AA583" s="149"/>
      <c r="AB583" s="149"/>
      <c r="AC583" s="149"/>
      <c r="AD583" s="149"/>
      <c r="AE583" s="149"/>
      <c r="AF583" s="149"/>
      <c r="AG583" s="149"/>
      <c r="AH583" s="149"/>
      <c r="AI583" s="149"/>
      <c r="AJ583" s="149"/>
      <c r="AK583" s="149"/>
      <c r="AL583" s="149"/>
      <c r="AM583" s="149"/>
      <c r="AN583" s="149"/>
      <c r="AP583" s="2"/>
      <c r="AS583" s="19"/>
      <c r="BM583" s="19"/>
      <c r="BN583" s="2"/>
      <c r="BR583" s="19"/>
    </row>
    <row r="584" spans="1:70" x14ac:dyDescent="0.35">
      <c r="A584" s="149"/>
      <c r="E584" s="149"/>
      <c r="F584" s="149"/>
      <c r="G584" s="149"/>
      <c r="H584" s="149"/>
      <c r="I584" s="149"/>
      <c r="J584" s="149"/>
      <c r="K584" s="149"/>
      <c r="L584" s="149"/>
      <c r="M584" s="149"/>
      <c r="N584" s="149"/>
      <c r="O584" s="149"/>
      <c r="P584" s="149"/>
      <c r="Q584" s="149"/>
      <c r="R584" s="149"/>
      <c r="S584" s="149"/>
      <c r="T584" s="149"/>
      <c r="U584" s="149"/>
      <c r="V584" s="149"/>
      <c r="W584" s="149"/>
      <c r="X584" s="149"/>
      <c r="Y584" s="149"/>
      <c r="Z584" s="149"/>
      <c r="AA584" s="149"/>
      <c r="AB584" s="149"/>
      <c r="AC584" s="149"/>
      <c r="AD584" s="149"/>
      <c r="AE584" s="149"/>
      <c r="AF584" s="149"/>
      <c r="AG584" s="149"/>
      <c r="AH584" s="149"/>
      <c r="AI584" s="149"/>
      <c r="AJ584" s="149"/>
      <c r="AK584" s="149"/>
      <c r="AL584" s="149"/>
      <c r="AM584" s="149"/>
      <c r="AN584" s="149"/>
      <c r="AP584" s="2"/>
      <c r="AS584" s="19"/>
      <c r="BM584" s="19"/>
      <c r="BN584" s="2"/>
      <c r="BR584" s="19"/>
    </row>
    <row r="585" spans="1:70" x14ac:dyDescent="0.35">
      <c r="A585" s="149"/>
      <c r="E585" s="149"/>
      <c r="F585" s="149"/>
      <c r="G585" s="149"/>
      <c r="H585" s="149"/>
      <c r="I585" s="149"/>
      <c r="J585" s="149"/>
      <c r="K585" s="149"/>
      <c r="L585" s="149"/>
      <c r="M585" s="149"/>
      <c r="N585" s="149"/>
      <c r="O585" s="149"/>
      <c r="P585" s="149"/>
      <c r="Q585" s="149"/>
      <c r="R585" s="149"/>
      <c r="S585" s="149"/>
      <c r="T585" s="149"/>
      <c r="U585" s="149"/>
      <c r="V585" s="149"/>
      <c r="W585" s="149"/>
      <c r="X585" s="149"/>
      <c r="Y585" s="149"/>
      <c r="Z585" s="149"/>
      <c r="AA585" s="149"/>
      <c r="AB585" s="149"/>
      <c r="AC585" s="149"/>
      <c r="AD585" s="149"/>
      <c r="AE585" s="149"/>
      <c r="AF585" s="149"/>
      <c r="AG585" s="149"/>
      <c r="AH585" s="149"/>
      <c r="AI585" s="149"/>
      <c r="AJ585" s="149"/>
      <c r="AK585" s="149"/>
      <c r="AL585" s="149"/>
      <c r="AM585" s="149"/>
      <c r="AN585" s="149"/>
      <c r="AP585" s="2"/>
      <c r="AS585" s="19"/>
      <c r="BM585" s="19"/>
      <c r="BN585" s="2"/>
      <c r="BR585" s="19"/>
    </row>
    <row r="586" spans="1:70" x14ac:dyDescent="0.35">
      <c r="A586" s="149"/>
      <c r="E586" s="149"/>
      <c r="F586" s="149"/>
      <c r="G586" s="149"/>
      <c r="H586" s="149"/>
      <c r="I586" s="149"/>
      <c r="J586" s="149"/>
      <c r="K586" s="149"/>
      <c r="L586" s="149"/>
      <c r="M586" s="149"/>
      <c r="N586" s="149"/>
      <c r="O586" s="149"/>
      <c r="P586" s="149"/>
      <c r="Q586" s="149"/>
      <c r="R586" s="149"/>
      <c r="S586" s="149"/>
      <c r="T586" s="149"/>
      <c r="U586" s="149"/>
      <c r="V586" s="149"/>
      <c r="W586" s="149"/>
      <c r="X586" s="149"/>
      <c r="Y586" s="149"/>
      <c r="Z586" s="149"/>
      <c r="AA586" s="149"/>
      <c r="AB586" s="149"/>
      <c r="AC586" s="149"/>
      <c r="AD586" s="149"/>
      <c r="AE586" s="149"/>
      <c r="AF586" s="149"/>
      <c r="AG586" s="149"/>
      <c r="AH586" s="149"/>
      <c r="AI586" s="149"/>
      <c r="AJ586" s="149"/>
      <c r="AK586" s="149"/>
      <c r="AL586" s="149"/>
      <c r="AM586" s="149"/>
      <c r="AN586" s="149"/>
      <c r="AP586" s="2"/>
      <c r="AS586" s="19"/>
      <c r="BM586" s="19"/>
      <c r="BN586" s="2"/>
      <c r="BR586" s="19"/>
    </row>
    <row r="587" spans="1:70" x14ac:dyDescent="0.35">
      <c r="A587" s="149"/>
      <c r="E587" s="149"/>
      <c r="F587" s="149"/>
      <c r="G587" s="149"/>
      <c r="H587" s="149"/>
      <c r="I587" s="149"/>
      <c r="J587" s="149"/>
      <c r="K587" s="149"/>
      <c r="L587" s="149"/>
      <c r="M587" s="149"/>
      <c r="N587" s="149"/>
      <c r="O587" s="149"/>
      <c r="P587" s="149"/>
      <c r="Q587" s="149"/>
      <c r="R587" s="149"/>
      <c r="S587" s="149"/>
      <c r="T587" s="149"/>
      <c r="U587" s="149"/>
      <c r="V587" s="149"/>
      <c r="W587" s="149"/>
      <c r="X587" s="149"/>
      <c r="Y587" s="149"/>
      <c r="Z587" s="149"/>
      <c r="AA587" s="149"/>
      <c r="AB587" s="149"/>
      <c r="AC587" s="149"/>
      <c r="AD587" s="149"/>
      <c r="AE587" s="149"/>
      <c r="AF587" s="149"/>
      <c r="AG587" s="149"/>
      <c r="AH587" s="149"/>
      <c r="AI587" s="149"/>
      <c r="AJ587" s="149"/>
      <c r="AK587" s="149"/>
      <c r="AL587" s="149"/>
      <c r="AM587" s="149"/>
      <c r="AN587" s="149"/>
      <c r="AP587" s="2"/>
      <c r="AS587" s="19"/>
      <c r="BM587" s="19"/>
      <c r="BN587" s="2"/>
      <c r="BR587" s="19"/>
    </row>
    <row r="588" spans="1:70" x14ac:dyDescent="0.35">
      <c r="A588" s="149"/>
      <c r="E588" s="149"/>
      <c r="F588" s="149"/>
      <c r="G588" s="149"/>
      <c r="H588" s="149"/>
      <c r="I588" s="149"/>
      <c r="J588" s="149"/>
      <c r="K588" s="149"/>
      <c r="L588" s="149"/>
      <c r="M588" s="149"/>
      <c r="N588" s="149"/>
      <c r="O588" s="149"/>
      <c r="P588" s="149"/>
      <c r="Q588" s="149"/>
      <c r="R588" s="149"/>
      <c r="S588" s="149"/>
      <c r="T588" s="149"/>
      <c r="U588" s="149"/>
      <c r="V588" s="149"/>
      <c r="W588" s="149"/>
      <c r="X588" s="149"/>
      <c r="Y588" s="149"/>
      <c r="Z588" s="149"/>
      <c r="AA588" s="149"/>
      <c r="AB588" s="149"/>
      <c r="AC588" s="149"/>
      <c r="AD588" s="149"/>
      <c r="AE588" s="149"/>
      <c r="AF588" s="149"/>
      <c r="AG588" s="149"/>
      <c r="AH588" s="149"/>
      <c r="AI588" s="149"/>
      <c r="AJ588" s="149"/>
      <c r="AK588" s="149"/>
      <c r="AL588" s="149"/>
      <c r="AM588" s="149"/>
      <c r="AN588" s="149"/>
      <c r="AP588" s="2"/>
      <c r="AS588" s="19"/>
      <c r="BM588" s="19"/>
      <c r="BN588" s="2"/>
      <c r="BR588" s="19"/>
    </row>
    <row r="589" spans="1:70" x14ac:dyDescent="0.35">
      <c r="A589" s="149"/>
      <c r="E589" s="149"/>
      <c r="F589" s="149"/>
      <c r="G589" s="149"/>
      <c r="H589" s="149"/>
      <c r="I589" s="149"/>
      <c r="J589" s="149"/>
      <c r="K589" s="149"/>
      <c r="L589" s="149"/>
      <c r="M589" s="149"/>
      <c r="N589" s="149"/>
      <c r="O589" s="149"/>
      <c r="P589" s="149"/>
      <c r="Q589" s="149"/>
      <c r="R589" s="149"/>
      <c r="S589" s="149"/>
      <c r="T589" s="149"/>
      <c r="U589" s="149"/>
      <c r="V589" s="149"/>
      <c r="W589" s="149"/>
      <c r="X589" s="149"/>
      <c r="Y589" s="149"/>
      <c r="Z589" s="149"/>
      <c r="AA589" s="149"/>
      <c r="AB589" s="149"/>
      <c r="AC589" s="149"/>
      <c r="AD589" s="149"/>
      <c r="AE589" s="149"/>
      <c r="AF589" s="149"/>
      <c r="AG589" s="149"/>
      <c r="AH589" s="149"/>
      <c r="AI589" s="149"/>
      <c r="AJ589" s="149"/>
      <c r="AK589" s="149"/>
      <c r="AL589" s="149"/>
      <c r="AM589" s="149"/>
      <c r="AN589" s="149"/>
      <c r="AP589" s="2"/>
      <c r="AS589" s="19"/>
      <c r="BM589" s="19"/>
      <c r="BN589" s="2"/>
      <c r="BR589" s="19"/>
    </row>
    <row r="590" spans="1:70" x14ac:dyDescent="0.35">
      <c r="A590" s="149"/>
      <c r="E590" s="149"/>
      <c r="F590" s="149"/>
      <c r="G590" s="149"/>
      <c r="H590" s="149"/>
      <c r="I590" s="149"/>
      <c r="J590" s="149"/>
      <c r="K590" s="149"/>
      <c r="L590" s="149"/>
      <c r="M590" s="149"/>
      <c r="N590" s="149"/>
      <c r="O590" s="149"/>
      <c r="P590" s="149"/>
      <c r="Q590" s="149"/>
      <c r="R590" s="149"/>
      <c r="S590" s="149"/>
      <c r="T590" s="149"/>
      <c r="U590" s="149"/>
      <c r="V590" s="149"/>
      <c r="W590" s="149"/>
      <c r="X590" s="149"/>
      <c r="Y590" s="149"/>
      <c r="Z590" s="149"/>
      <c r="AA590" s="149"/>
      <c r="AB590" s="149"/>
      <c r="AC590" s="149"/>
      <c r="AD590" s="149"/>
      <c r="AE590" s="149"/>
      <c r="AF590" s="149"/>
      <c r="AG590" s="149"/>
      <c r="AH590" s="149"/>
      <c r="AI590" s="149"/>
      <c r="AJ590" s="149"/>
      <c r="AK590" s="149"/>
      <c r="AL590" s="149"/>
      <c r="AM590" s="149"/>
      <c r="AN590" s="149"/>
      <c r="AP590" s="2"/>
      <c r="AS590" s="19"/>
      <c r="BM590" s="19"/>
      <c r="BN590" s="2"/>
      <c r="BR590" s="19"/>
    </row>
    <row r="591" spans="1:70" x14ac:dyDescent="0.35">
      <c r="A591" s="149"/>
      <c r="E591" s="149"/>
      <c r="F591" s="149"/>
      <c r="G591" s="149"/>
      <c r="H591" s="149"/>
      <c r="I591" s="149"/>
      <c r="J591" s="149"/>
      <c r="K591" s="149"/>
      <c r="L591" s="149"/>
      <c r="M591" s="149"/>
      <c r="N591" s="149"/>
      <c r="O591" s="149"/>
      <c r="P591" s="149"/>
      <c r="Q591" s="149"/>
      <c r="R591" s="149"/>
      <c r="S591" s="149"/>
      <c r="T591" s="149"/>
      <c r="U591" s="149"/>
      <c r="V591" s="149"/>
      <c r="W591" s="149"/>
      <c r="X591" s="149"/>
      <c r="Y591" s="149"/>
      <c r="Z591" s="149"/>
      <c r="AA591" s="149"/>
      <c r="AB591" s="149"/>
      <c r="AC591" s="149"/>
      <c r="AD591" s="149"/>
      <c r="AE591" s="149"/>
      <c r="AF591" s="149"/>
      <c r="AG591" s="149"/>
      <c r="AH591" s="149"/>
      <c r="AI591" s="149"/>
      <c r="AJ591" s="149"/>
      <c r="AK591" s="149"/>
      <c r="AL591" s="149"/>
      <c r="AM591" s="149"/>
      <c r="AN591" s="149"/>
      <c r="AP591" s="2"/>
      <c r="AS591" s="19"/>
      <c r="BM591" s="19"/>
      <c r="BN591" s="2"/>
      <c r="BR591" s="19"/>
    </row>
    <row r="592" spans="1:70" x14ac:dyDescent="0.35">
      <c r="A592" s="149"/>
      <c r="E592" s="149"/>
      <c r="F592" s="149"/>
      <c r="G592" s="149"/>
      <c r="H592" s="149"/>
      <c r="I592" s="149"/>
      <c r="J592" s="149"/>
      <c r="K592" s="149"/>
      <c r="L592" s="149"/>
      <c r="M592" s="149"/>
      <c r="N592" s="149"/>
      <c r="O592" s="149"/>
      <c r="P592" s="149"/>
      <c r="Q592" s="149"/>
      <c r="R592" s="149"/>
      <c r="S592" s="149"/>
      <c r="T592" s="149"/>
      <c r="U592" s="149"/>
      <c r="V592" s="149"/>
      <c r="W592" s="149"/>
      <c r="X592" s="149"/>
      <c r="Y592" s="149"/>
      <c r="Z592" s="149"/>
      <c r="AA592" s="149"/>
      <c r="AB592" s="149"/>
      <c r="AC592" s="149"/>
      <c r="AD592" s="149"/>
      <c r="AE592" s="149"/>
      <c r="AF592" s="149"/>
      <c r="AG592" s="149"/>
      <c r="AH592" s="149"/>
      <c r="AI592" s="149"/>
      <c r="AJ592" s="149"/>
      <c r="AK592" s="149"/>
      <c r="AL592" s="149"/>
      <c r="AM592" s="149"/>
      <c r="AN592" s="149"/>
      <c r="AP592" s="2"/>
      <c r="AS592" s="19"/>
      <c r="BM592" s="19"/>
      <c r="BN592" s="2"/>
      <c r="BR592" s="19"/>
    </row>
    <row r="593" spans="1:70" x14ac:dyDescent="0.35">
      <c r="A593" s="149"/>
      <c r="E593" s="149"/>
      <c r="F593" s="149"/>
      <c r="G593" s="149"/>
      <c r="H593" s="149"/>
      <c r="I593" s="149"/>
      <c r="J593" s="149"/>
      <c r="K593" s="149"/>
      <c r="L593" s="149"/>
      <c r="M593" s="149"/>
      <c r="N593" s="149"/>
      <c r="O593" s="149"/>
      <c r="P593" s="149"/>
      <c r="Q593" s="149"/>
      <c r="R593" s="149"/>
      <c r="S593" s="149"/>
      <c r="T593" s="149"/>
      <c r="U593" s="149"/>
      <c r="V593" s="149"/>
      <c r="W593" s="149"/>
      <c r="X593" s="149"/>
      <c r="Y593" s="149"/>
      <c r="Z593" s="149"/>
      <c r="AA593" s="149"/>
      <c r="AB593" s="149"/>
      <c r="AC593" s="149"/>
      <c r="AD593" s="149"/>
      <c r="AE593" s="149"/>
      <c r="AF593" s="149"/>
      <c r="AG593" s="149"/>
      <c r="AH593" s="149"/>
      <c r="AI593" s="149"/>
      <c r="AJ593" s="149"/>
      <c r="AK593" s="149"/>
      <c r="AL593" s="149"/>
      <c r="AM593" s="149"/>
      <c r="AN593" s="149"/>
      <c r="AP593" s="2"/>
      <c r="AS593" s="19"/>
      <c r="BM593" s="19"/>
      <c r="BN593" s="2"/>
      <c r="BR593" s="19"/>
    </row>
    <row r="594" spans="1:70" x14ac:dyDescent="0.35">
      <c r="A594" s="149"/>
      <c r="E594" s="149"/>
      <c r="F594" s="149"/>
      <c r="G594" s="149"/>
      <c r="H594" s="149"/>
      <c r="I594" s="149"/>
      <c r="J594" s="149"/>
      <c r="K594" s="149"/>
      <c r="L594" s="149"/>
      <c r="M594" s="149"/>
      <c r="N594" s="149"/>
      <c r="O594" s="149"/>
      <c r="P594" s="149"/>
      <c r="Q594" s="149"/>
      <c r="R594" s="149"/>
      <c r="S594" s="149"/>
      <c r="T594" s="149"/>
      <c r="U594" s="149"/>
      <c r="V594" s="149"/>
      <c r="W594" s="149"/>
      <c r="X594" s="149"/>
      <c r="Y594" s="149"/>
      <c r="Z594" s="149"/>
      <c r="AA594" s="149"/>
      <c r="AB594" s="149"/>
      <c r="AC594" s="149"/>
      <c r="AD594" s="149"/>
      <c r="AE594" s="149"/>
      <c r="AF594" s="149"/>
      <c r="AG594" s="149"/>
      <c r="AH594" s="149"/>
      <c r="AI594" s="149"/>
      <c r="AJ594" s="149"/>
      <c r="AK594" s="149"/>
      <c r="AL594" s="149"/>
      <c r="AM594" s="149"/>
      <c r="AN594" s="149"/>
      <c r="AP594" s="2"/>
      <c r="AS594" s="19"/>
      <c r="BM594" s="19"/>
      <c r="BN594" s="2"/>
      <c r="BR594" s="19"/>
    </row>
    <row r="595" spans="1:70" x14ac:dyDescent="0.35">
      <c r="A595" s="149"/>
      <c r="E595" s="149"/>
      <c r="F595" s="149"/>
      <c r="G595" s="149"/>
      <c r="H595" s="149"/>
      <c r="I595" s="149"/>
      <c r="J595" s="149"/>
      <c r="K595" s="149"/>
      <c r="L595" s="149"/>
      <c r="M595" s="149"/>
      <c r="N595" s="149"/>
      <c r="O595" s="149"/>
      <c r="P595" s="149"/>
      <c r="Q595" s="149"/>
      <c r="R595" s="149"/>
      <c r="S595" s="149"/>
      <c r="T595" s="149"/>
      <c r="U595" s="149"/>
      <c r="V595" s="149"/>
      <c r="W595" s="149"/>
      <c r="X595" s="149"/>
      <c r="Y595" s="149"/>
      <c r="Z595" s="149"/>
      <c r="AA595" s="149"/>
      <c r="AB595" s="149"/>
      <c r="AC595" s="149"/>
      <c r="AD595" s="149"/>
      <c r="AE595" s="149"/>
      <c r="AF595" s="149"/>
      <c r="AG595" s="149"/>
      <c r="AH595" s="149"/>
      <c r="AI595" s="149"/>
      <c r="AJ595" s="149"/>
      <c r="AK595" s="149"/>
      <c r="AL595" s="149"/>
      <c r="AM595" s="149"/>
      <c r="AN595" s="149"/>
      <c r="AP595" s="2"/>
      <c r="AS595" s="19"/>
      <c r="BM595" s="19"/>
      <c r="BN595" s="2"/>
      <c r="BR595" s="19"/>
    </row>
    <row r="596" spans="1:70" x14ac:dyDescent="0.35">
      <c r="A596" s="149"/>
      <c r="E596" s="149"/>
      <c r="F596" s="149"/>
      <c r="G596" s="149"/>
      <c r="H596" s="149"/>
      <c r="I596" s="149"/>
      <c r="J596" s="149"/>
      <c r="K596" s="149"/>
      <c r="L596" s="149"/>
      <c r="M596" s="149"/>
      <c r="N596" s="149"/>
      <c r="O596" s="149"/>
      <c r="P596" s="149"/>
      <c r="Q596" s="149"/>
      <c r="R596" s="149"/>
      <c r="S596" s="149"/>
      <c r="T596" s="149"/>
      <c r="U596" s="149"/>
      <c r="V596" s="149"/>
      <c r="W596" s="149"/>
      <c r="X596" s="149"/>
      <c r="Y596" s="149"/>
      <c r="Z596" s="149"/>
      <c r="AA596" s="149"/>
      <c r="AB596" s="149"/>
      <c r="AC596" s="149"/>
      <c r="AD596" s="149"/>
      <c r="AE596" s="149"/>
      <c r="AF596" s="149"/>
      <c r="AG596" s="149"/>
      <c r="AH596" s="149"/>
      <c r="AI596" s="149"/>
      <c r="AJ596" s="149"/>
      <c r="AK596" s="149"/>
      <c r="AL596" s="149"/>
      <c r="AM596" s="149"/>
      <c r="AN596" s="149"/>
      <c r="AP596" s="2"/>
      <c r="AS596" s="19"/>
      <c r="BM596" s="19"/>
      <c r="BN596" s="2"/>
      <c r="BR596" s="19"/>
    </row>
    <row r="597" spans="1:70" x14ac:dyDescent="0.35">
      <c r="A597" s="149"/>
      <c r="E597" s="149"/>
      <c r="F597" s="149"/>
      <c r="G597" s="149"/>
      <c r="H597" s="149"/>
      <c r="I597" s="149"/>
      <c r="J597" s="149"/>
      <c r="K597" s="149"/>
      <c r="L597" s="149"/>
      <c r="M597" s="149"/>
      <c r="N597" s="149"/>
      <c r="O597" s="149"/>
      <c r="P597" s="149"/>
      <c r="Q597" s="149"/>
      <c r="R597" s="149"/>
      <c r="S597" s="149"/>
      <c r="T597" s="149"/>
      <c r="U597" s="149"/>
      <c r="V597" s="149"/>
      <c r="W597" s="149"/>
      <c r="X597" s="149"/>
      <c r="Y597" s="149"/>
      <c r="Z597" s="149"/>
      <c r="AA597" s="149"/>
      <c r="AB597" s="149"/>
      <c r="AC597" s="149"/>
      <c r="AD597" s="149"/>
      <c r="AE597" s="149"/>
      <c r="AF597" s="149"/>
      <c r="AG597" s="149"/>
      <c r="AH597" s="149"/>
      <c r="AI597" s="149"/>
      <c r="AJ597" s="149"/>
      <c r="AK597" s="149"/>
      <c r="AL597" s="149"/>
      <c r="AM597" s="149"/>
      <c r="AN597" s="149"/>
      <c r="AP597" s="2"/>
      <c r="AS597" s="19"/>
      <c r="BM597" s="19"/>
      <c r="BN597" s="2"/>
      <c r="BR597" s="19"/>
    </row>
    <row r="598" spans="1:70" x14ac:dyDescent="0.35">
      <c r="A598" s="149"/>
      <c r="E598" s="149"/>
      <c r="F598" s="149"/>
      <c r="G598" s="149"/>
      <c r="H598" s="149"/>
      <c r="I598" s="149"/>
      <c r="J598" s="149"/>
      <c r="K598" s="149"/>
      <c r="L598" s="149"/>
      <c r="M598" s="149"/>
      <c r="N598" s="149"/>
      <c r="O598" s="149"/>
      <c r="P598" s="149"/>
      <c r="Q598" s="149"/>
      <c r="R598" s="149"/>
      <c r="S598" s="149"/>
      <c r="T598" s="149"/>
      <c r="U598" s="149"/>
      <c r="V598" s="149"/>
      <c r="W598" s="149"/>
      <c r="X598" s="149"/>
      <c r="Y598" s="149"/>
      <c r="Z598" s="149"/>
      <c r="AA598" s="149"/>
      <c r="AB598" s="149"/>
      <c r="AC598" s="149"/>
      <c r="AD598" s="149"/>
      <c r="AE598" s="149"/>
      <c r="AF598" s="149"/>
      <c r="AG598" s="149"/>
      <c r="AH598" s="149"/>
      <c r="AI598" s="149"/>
      <c r="AJ598" s="149"/>
      <c r="AK598" s="149"/>
      <c r="AL598" s="149"/>
      <c r="AM598" s="149"/>
      <c r="AN598" s="149"/>
      <c r="AP598" s="2"/>
      <c r="AS598" s="19"/>
      <c r="BM598" s="19"/>
      <c r="BN598" s="2"/>
      <c r="BR598" s="19"/>
    </row>
    <row r="599" spans="1:70" x14ac:dyDescent="0.35">
      <c r="A599" s="149"/>
      <c r="E599" s="149"/>
      <c r="F599" s="149"/>
      <c r="G599" s="149"/>
      <c r="H599" s="149"/>
      <c r="I599" s="149"/>
      <c r="J599" s="149"/>
      <c r="K599" s="149"/>
      <c r="L599" s="149"/>
      <c r="M599" s="149"/>
      <c r="N599" s="149"/>
      <c r="O599" s="149"/>
      <c r="P599" s="149"/>
      <c r="Q599" s="149"/>
      <c r="R599" s="149"/>
      <c r="S599" s="149"/>
      <c r="T599" s="149"/>
      <c r="U599" s="149"/>
      <c r="V599" s="149"/>
      <c r="W599" s="149"/>
      <c r="X599" s="149"/>
      <c r="Y599" s="149"/>
      <c r="Z599" s="149"/>
      <c r="AA599" s="149"/>
      <c r="AB599" s="149"/>
      <c r="AC599" s="149"/>
      <c r="AD599" s="149"/>
      <c r="AE599" s="149"/>
      <c r="AF599" s="149"/>
      <c r="AG599" s="149"/>
      <c r="AH599" s="149"/>
      <c r="AI599" s="149"/>
      <c r="AJ599" s="149"/>
      <c r="AK599" s="149"/>
      <c r="AL599" s="149"/>
      <c r="AM599" s="149"/>
      <c r="AN599" s="149"/>
      <c r="AP599" s="2"/>
      <c r="AS599" s="19"/>
      <c r="BM599" s="19"/>
      <c r="BN599" s="2"/>
      <c r="BR599" s="19"/>
    </row>
    <row r="600" spans="1:70" x14ac:dyDescent="0.35">
      <c r="A600" s="149"/>
      <c r="E600" s="149"/>
      <c r="F600" s="149"/>
      <c r="G600" s="149"/>
      <c r="H600" s="149"/>
      <c r="I600" s="149"/>
      <c r="J600" s="149"/>
      <c r="K600" s="149"/>
      <c r="L600" s="149"/>
      <c r="M600" s="149"/>
      <c r="N600" s="149"/>
      <c r="O600" s="149"/>
      <c r="P600" s="149"/>
      <c r="Q600" s="149"/>
      <c r="R600" s="149"/>
      <c r="S600" s="149"/>
      <c r="T600" s="149"/>
      <c r="U600" s="149"/>
      <c r="V600" s="149"/>
      <c r="W600" s="149"/>
      <c r="X600" s="149"/>
      <c r="Y600" s="149"/>
      <c r="Z600" s="149"/>
      <c r="AA600" s="149"/>
      <c r="AB600" s="149"/>
      <c r="AC600" s="149"/>
      <c r="AD600" s="149"/>
      <c r="AE600" s="149"/>
      <c r="AF600" s="149"/>
      <c r="AG600" s="149"/>
      <c r="AH600" s="149"/>
      <c r="AI600" s="149"/>
      <c r="AJ600" s="149"/>
      <c r="AK600" s="149"/>
      <c r="AL600" s="149"/>
      <c r="AM600" s="149"/>
      <c r="AN600" s="149"/>
      <c r="AP600" s="2"/>
      <c r="AS600" s="19"/>
      <c r="BM600" s="19"/>
      <c r="BN600" s="2"/>
      <c r="BR600" s="19"/>
    </row>
    <row r="601" spans="1:70" x14ac:dyDescent="0.35">
      <c r="A601" s="149"/>
      <c r="E601" s="149"/>
      <c r="F601" s="149"/>
      <c r="G601" s="149"/>
      <c r="H601" s="149"/>
      <c r="I601" s="149"/>
      <c r="J601" s="149"/>
      <c r="K601" s="149"/>
      <c r="L601" s="149"/>
      <c r="M601" s="149"/>
      <c r="N601" s="149"/>
      <c r="O601" s="149"/>
      <c r="P601" s="149"/>
      <c r="Q601" s="149"/>
      <c r="R601" s="149"/>
      <c r="S601" s="149"/>
      <c r="T601" s="149"/>
      <c r="U601" s="149"/>
      <c r="V601" s="149"/>
      <c r="W601" s="149"/>
      <c r="X601" s="149"/>
      <c r="Y601" s="149"/>
      <c r="Z601" s="149"/>
      <c r="AA601" s="149"/>
      <c r="AB601" s="149"/>
      <c r="AC601" s="149"/>
      <c r="AD601" s="149"/>
      <c r="AE601" s="149"/>
      <c r="AF601" s="149"/>
      <c r="AG601" s="149"/>
      <c r="AH601" s="149"/>
      <c r="AI601" s="149"/>
      <c r="AJ601" s="149"/>
      <c r="AK601" s="149"/>
      <c r="AL601" s="149"/>
      <c r="AM601" s="149"/>
      <c r="AN601" s="149"/>
      <c r="AP601" s="2"/>
      <c r="AS601" s="19"/>
      <c r="BM601" s="19"/>
      <c r="BN601" s="2"/>
      <c r="BR601" s="19"/>
    </row>
    <row r="602" spans="1:70" x14ac:dyDescent="0.35">
      <c r="A602" s="149"/>
      <c r="E602" s="149"/>
      <c r="F602" s="149"/>
      <c r="G602" s="149"/>
      <c r="H602" s="149"/>
      <c r="I602" s="149"/>
      <c r="J602" s="149"/>
      <c r="K602" s="149"/>
      <c r="L602" s="149"/>
      <c r="M602" s="149"/>
      <c r="N602" s="149"/>
      <c r="O602" s="149"/>
      <c r="P602" s="149"/>
      <c r="Q602" s="149"/>
      <c r="R602" s="149"/>
      <c r="S602" s="149"/>
      <c r="T602" s="149"/>
      <c r="U602" s="149"/>
      <c r="V602" s="149"/>
      <c r="W602" s="149"/>
      <c r="X602" s="149"/>
      <c r="Y602" s="149"/>
      <c r="Z602" s="149"/>
      <c r="AA602" s="149"/>
      <c r="AB602" s="149"/>
      <c r="AC602" s="149"/>
      <c r="AD602" s="149"/>
      <c r="AE602" s="149"/>
      <c r="AF602" s="149"/>
      <c r="AG602" s="149"/>
      <c r="AH602" s="149"/>
      <c r="AI602" s="149"/>
      <c r="AJ602" s="149"/>
      <c r="AK602" s="149"/>
      <c r="AL602" s="149"/>
      <c r="AM602" s="149"/>
      <c r="AN602" s="149"/>
      <c r="AP602" s="2"/>
      <c r="AS602" s="19"/>
      <c r="BM602" s="19"/>
      <c r="BN602" s="2"/>
      <c r="BR602" s="19"/>
    </row>
    <row r="603" spans="1:70" x14ac:dyDescent="0.35">
      <c r="A603" s="149"/>
      <c r="E603" s="149"/>
      <c r="F603" s="149"/>
      <c r="G603" s="149"/>
      <c r="H603" s="149"/>
      <c r="I603" s="149"/>
      <c r="J603" s="149"/>
      <c r="K603" s="149"/>
      <c r="L603" s="149"/>
      <c r="M603" s="149"/>
      <c r="N603" s="149"/>
      <c r="O603" s="149"/>
      <c r="P603" s="149"/>
      <c r="Q603" s="149"/>
      <c r="R603" s="149"/>
      <c r="S603" s="149"/>
      <c r="T603" s="149"/>
      <c r="U603" s="149"/>
      <c r="V603" s="149"/>
      <c r="W603" s="149"/>
      <c r="X603" s="149"/>
      <c r="Y603" s="149"/>
      <c r="Z603" s="149"/>
      <c r="AA603" s="149"/>
      <c r="AB603" s="149"/>
      <c r="AC603" s="149"/>
      <c r="AD603" s="149"/>
      <c r="AE603" s="149"/>
      <c r="AF603" s="149"/>
      <c r="AG603" s="149"/>
      <c r="AH603" s="149"/>
      <c r="AI603" s="149"/>
      <c r="AJ603" s="149"/>
      <c r="AK603" s="149"/>
      <c r="AL603" s="149"/>
      <c r="AM603" s="149"/>
      <c r="AN603" s="149"/>
      <c r="AP603" s="2"/>
      <c r="AS603" s="19"/>
      <c r="BM603" s="19"/>
      <c r="BN603" s="2"/>
      <c r="BR603" s="19"/>
    </row>
    <row r="604" spans="1:70" x14ac:dyDescent="0.35">
      <c r="A604" s="149"/>
      <c r="E604" s="149"/>
      <c r="F604" s="149"/>
      <c r="G604" s="149"/>
      <c r="H604" s="149"/>
      <c r="I604" s="149"/>
      <c r="J604" s="149"/>
      <c r="K604" s="149"/>
      <c r="L604" s="149"/>
      <c r="M604" s="149"/>
      <c r="N604" s="149"/>
      <c r="O604" s="149"/>
      <c r="P604" s="149"/>
      <c r="Q604" s="149"/>
      <c r="R604" s="149"/>
      <c r="S604" s="149"/>
      <c r="T604" s="149"/>
      <c r="U604" s="149"/>
      <c r="V604" s="149"/>
      <c r="W604" s="149"/>
      <c r="X604" s="149"/>
      <c r="Y604" s="149"/>
      <c r="Z604" s="149"/>
      <c r="AA604" s="149"/>
      <c r="AB604" s="149"/>
      <c r="AC604" s="149"/>
      <c r="AD604" s="149"/>
      <c r="AE604" s="149"/>
      <c r="AF604" s="149"/>
      <c r="AG604" s="149"/>
      <c r="AH604" s="149"/>
      <c r="AI604" s="149"/>
      <c r="AJ604" s="149"/>
      <c r="AK604" s="149"/>
      <c r="AL604" s="149"/>
      <c r="AM604" s="149"/>
      <c r="AN604" s="149"/>
      <c r="AP604" s="2"/>
      <c r="AS604" s="19"/>
      <c r="BM604" s="19"/>
      <c r="BN604" s="2"/>
      <c r="BR604" s="19"/>
    </row>
    <row r="605" spans="1:70" x14ac:dyDescent="0.35">
      <c r="A605" s="149"/>
      <c r="E605" s="149"/>
      <c r="F605" s="149"/>
      <c r="G605" s="149"/>
      <c r="H605" s="149"/>
      <c r="I605" s="149"/>
      <c r="J605" s="149"/>
      <c r="K605" s="149"/>
      <c r="L605" s="149"/>
      <c r="M605" s="149"/>
      <c r="N605" s="149"/>
      <c r="O605" s="149"/>
      <c r="P605" s="149"/>
      <c r="Q605" s="149"/>
      <c r="R605" s="149"/>
      <c r="S605" s="149"/>
      <c r="T605" s="149"/>
      <c r="U605" s="149"/>
      <c r="V605" s="149"/>
      <c r="W605" s="149"/>
      <c r="X605" s="149"/>
      <c r="Y605" s="149"/>
      <c r="Z605" s="149"/>
      <c r="AA605" s="149"/>
      <c r="AB605" s="149"/>
      <c r="AC605" s="149"/>
      <c r="AD605" s="149"/>
      <c r="AE605" s="149"/>
      <c r="AF605" s="149"/>
      <c r="AG605" s="149"/>
      <c r="AH605" s="149"/>
      <c r="AI605" s="149"/>
      <c r="AJ605" s="149"/>
      <c r="AK605" s="149"/>
      <c r="AL605" s="149"/>
      <c r="AM605" s="149"/>
      <c r="AN605" s="149"/>
      <c r="AP605" s="2"/>
      <c r="AS605" s="19"/>
      <c r="BM605" s="19"/>
      <c r="BN605" s="2"/>
      <c r="BR605" s="19"/>
    </row>
    <row r="606" spans="1:70" x14ac:dyDescent="0.35">
      <c r="A606" s="149"/>
      <c r="E606" s="149"/>
      <c r="F606" s="149"/>
      <c r="G606" s="149"/>
      <c r="H606" s="149"/>
      <c r="I606" s="149"/>
      <c r="J606" s="149"/>
      <c r="K606" s="149"/>
      <c r="L606" s="149"/>
      <c r="M606" s="149"/>
      <c r="N606" s="149"/>
      <c r="O606" s="149"/>
      <c r="P606" s="149"/>
      <c r="Q606" s="149"/>
      <c r="R606" s="149"/>
      <c r="S606" s="149"/>
      <c r="T606" s="149"/>
      <c r="U606" s="149"/>
      <c r="V606" s="149"/>
      <c r="W606" s="149"/>
      <c r="X606" s="149"/>
      <c r="Y606" s="149"/>
      <c r="Z606" s="149"/>
      <c r="AA606" s="149"/>
      <c r="AB606" s="149"/>
      <c r="AC606" s="149"/>
      <c r="AD606" s="149"/>
      <c r="AE606" s="149"/>
      <c r="AF606" s="149"/>
      <c r="AG606" s="149"/>
      <c r="AH606" s="149"/>
      <c r="AI606" s="149"/>
      <c r="AJ606" s="149"/>
      <c r="AK606" s="149"/>
      <c r="AL606" s="149"/>
      <c r="AM606" s="149"/>
      <c r="AN606" s="149"/>
      <c r="AP606" s="2"/>
      <c r="AS606" s="19"/>
      <c r="BM606" s="19"/>
      <c r="BN606" s="2"/>
      <c r="BR606" s="19"/>
    </row>
    <row r="607" spans="1:70" x14ac:dyDescent="0.35">
      <c r="A607" s="149"/>
      <c r="E607" s="149"/>
      <c r="F607" s="149"/>
      <c r="G607" s="149"/>
      <c r="H607" s="149"/>
      <c r="I607" s="149"/>
      <c r="J607" s="149"/>
      <c r="K607" s="149"/>
      <c r="L607" s="149"/>
      <c r="M607" s="149"/>
      <c r="N607" s="149"/>
      <c r="O607" s="149"/>
      <c r="P607" s="149"/>
      <c r="Q607" s="149"/>
      <c r="R607" s="149"/>
      <c r="S607" s="149"/>
      <c r="T607" s="149"/>
      <c r="U607" s="149"/>
      <c r="V607" s="149"/>
      <c r="W607" s="149"/>
      <c r="X607" s="149"/>
      <c r="Y607" s="149"/>
      <c r="Z607" s="149"/>
      <c r="AA607" s="149"/>
      <c r="AB607" s="149"/>
      <c r="AC607" s="149"/>
      <c r="AD607" s="149"/>
      <c r="AE607" s="149"/>
      <c r="AF607" s="149"/>
      <c r="AG607" s="149"/>
      <c r="AH607" s="149"/>
      <c r="AI607" s="149"/>
      <c r="AJ607" s="149"/>
      <c r="AK607" s="149"/>
      <c r="AL607" s="149"/>
      <c r="AM607" s="149"/>
      <c r="AN607" s="149"/>
      <c r="AP607" s="2"/>
      <c r="AS607" s="19"/>
      <c r="BM607" s="19"/>
      <c r="BN607" s="2"/>
      <c r="BR607" s="19"/>
    </row>
    <row r="608" spans="1:70" x14ac:dyDescent="0.35">
      <c r="A608" s="149"/>
      <c r="E608" s="149"/>
      <c r="F608" s="149"/>
      <c r="G608" s="149"/>
      <c r="H608" s="149"/>
      <c r="I608" s="149"/>
      <c r="J608" s="149"/>
      <c r="K608" s="149"/>
      <c r="L608" s="149"/>
      <c r="M608" s="149"/>
      <c r="N608" s="149"/>
      <c r="O608" s="149"/>
      <c r="P608" s="149"/>
      <c r="Q608" s="149"/>
      <c r="R608" s="149"/>
      <c r="S608" s="149"/>
      <c r="T608" s="149"/>
      <c r="U608" s="149"/>
      <c r="V608" s="149"/>
      <c r="W608" s="149"/>
      <c r="X608" s="149"/>
      <c r="Y608" s="149"/>
      <c r="Z608" s="149"/>
      <c r="AA608" s="149"/>
      <c r="AB608" s="149"/>
      <c r="AC608" s="149"/>
      <c r="AD608" s="149"/>
      <c r="AE608" s="149"/>
      <c r="AF608" s="149"/>
      <c r="AG608" s="149"/>
      <c r="AH608" s="149"/>
      <c r="AI608" s="149"/>
      <c r="AJ608" s="149"/>
      <c r="AK608" s="149"/>
      <c r="AL608" s="149"/>
      <c r="AM608" s="149"/>
      <c r="AN608" s="149"/>
      <c r="AP608" s="2"/>
      <c r="AS608" s="19"/>
      <c r="BM608" s="19"/>
      <c r="BN608" s="2"/>
      <c r="BR608" s="19"/>
    </row>
    <row r="609" spans="1:70" x14ac:dyDescent="0.35">
      <c r="A609" s="149"/>
      <c r="E609" s="149"/>
      <c r="F609" s="149"/>
      <c r="G609" s="149"/>
      <c r="H609" s="149"/>
      <c r="I609" s="149"/>
      <c r="J609" s="149"/>
      <c r="K609" s="149"/>
      <c r="L609" s="149"/>
      <c r="M609" s="149"/>
      <c r="N609" s="149"/>
      <c r="O609" s="149"/>
      <c r="P609" s="149"/>
      <c r="Q609" s="149"/>
      <c r="R609" s="149"/>
      <c r="S609" s="149"/>
      <c r="T609" s="149"/>
      <c r="U609" s="149"/>
      <c r="V609" s="149"/>
      <c r="W609" s="149"/>
      <c r="X609" s="149"/>
      <c r="Y609" s="149"/>
      <c r="Z609" s="149"/>
      <c r="AA609" s="149"/>
      <c r="AB609" s="149"/>
      <c r="AC609" s="149"/>
      <c r="AD609" s="149"/>
      <c r="AE609" s="149"/>
      <c r="AF609" s="149"/>
      <c r="AG609" s="149"/>
      <c r="AH609" s="149"/>
      <c r="AI609" s="149"/>
      <c r="AJ609" s="149"/>
      <c r="AK609" s="149"/>
      <c r="AL609" s="149"/>
      <c r="AM609" s="149"/>
      <c r="AN609" s="149"/>
      <c r="AP609" s="2"/>
      <c r="AS609" s="19"/>
      <c r="BM609" s="19"/>
      <c r="BN609" s="2"/>
      <c r="BR609" s="19"/>
    </row>
    <row r="610" spans="1:70" x14ac:dyDescent="0.35">
      <c r="A610" s="149"/>
      <c r="E610" s="149"/>
      <c r="F610" s="149"/>
      <c r="G610" s="149"/>
      <c r="H610" s="149"/>
      <c r="I610" s="149"/>
      <c r="J610" s="149"/>
      <c r="K610" s="149"/>
      <c r="L610" s="149"/>
      <c r="M610" s="149"/>
      <c r="N610" s="149"/>
      <c r="O610" s="149"/>
      <c r="P610" s="149"/>
      <c r="Q610" s="149"/>
      <c r="R610" s="149"/>
      <c r="S610" s="149"/>
      <c r="T610" s="149"/>
      <c r="U610" s="149"/>
      <c r="V610" s="149"/>
      <c r="W610" s="149"/>
      <c r="X610" s="149"/>
      <c r="Y610" s="149"/>
      <c r="Z610" s="149"/>
      <c r="AA610" s="149"/>
      <c r="AB610" s="149"/>
      <c r="AC610" s="149"/>
      <c r="AD610" s="149"/>
      <c r="AE610" s="149"/>
      <c r="AF610" s="149"/>
      <c r="AG610" s="149"/>
      <c r="AH610" s="149"/>
      <c r="AI610" s="149"/>
      <c r="AJ610" s="149"/>
      <c r="AK610" s="149"/>
      <c r="AL610" s="149"/>
      <c r="AM610" s="149"/>
      <c r="AN610" s="149"/>
      <c r="AP610" s="2"/>
      <c r="AS610" s="19"/>
      <c r="BM610" s="19"/>
      <c r="BN610" s="2"/>
      <c r="BR610" s="19"/>
    </row>
    <row r="611" spans="1:70" x14ac:dyDescent="0.35">
      <c r="A611" s="149"/>
      <c r="E611" s="149"/>
      <c r="F611" s="149"/>
      <c r="G611" s="149"/>
      <c r="H611" s="149"/>
      <c r="I611" s="149"/>
      <c r="J611" s="149"/>
      <c r="K611" s="149"/>
      <c r="L611" s="149"/>
      <c r="M611" s="149"/>
      <c r="N611" s="149"/>
      <c r="O611" s="149"/>
      <c r="P611" s="149"/>
      <c r="Q611" s="149"/>
      <c r="R611" s="149"/>
      <c r="S611" s="149"/>
      <c r="T611" s="149"/>
      <c r="U611" s="149"/>
      <c r="V611" s="149"/>
      <c r="W611" s="149"/>
      <c r="X611" s="149"/>
      <c r="Y611" s="149"/>
      <c r="Z611" s="149"/>
      <c r="AA611" s="149"/>
      <c r="AB611" s="149"/>
      <c r="AC611" s="149"/>
      <c r="AD611" s="149"/>
      <c r="AE611" s="149"/>
      <c r="AF611" s="149"/>
      <c r="AG611" s="149"/>
      <c r="AH611" s="149"/>
      <c r="AI611" s="149"/>
      <c r="AJ611" s="149"/>
      <c r="AK611" s="149"/>
      <c r="AL611" s="149"/>
      <c r="AM611" s="149"/>
      <c r="AN611" s="149"/>
      <c r="AP611" s="2"/>
      <c r="AS611" s="19"/>
      <c r="BM611" s="19"/>
      <c r="BN611" s="2"/>
      <c r="BR611" s="19"/>
    </row>
    <row r="612" spans="1:70" x14ac:dyDescent="0.35">
      <c r="A612" s="149"/>
      <c r="E612" s="149"/>
      <c r="F612" s="149"/>
      <c r="G612" s="149"/>
      <c r="H612" s="149"/>
      <c r="I612" s="149"/>
      <c r="J612" s="149"/>
      <c r="K612" s="149"/>
      <c r="L612" s="149"/>
      <c r="M612" s="149"/>
      <c r="N612" s="149"/>
      <c r="O612" s="149"/>
      <c r="P612" s="149"/>
      <c r="Q612" s="149"/>
      <c r="R612" s="149"/>
      <c r="S612" s="149"/>
      <c r="T612" s="149"/>
      <c r="U612" s="149"/>
      <c r="V612" s="149"/>
      <c r="W612" s="149"/>
      <c r="X612" s="149"/>
      <c r="Y612" s="149"/>
      <c r="Z612" s="149"/>
      <c r="AA612" s="149"/>
      <c r="AB612" s="149"/>
      <c r="AC612" s="149"/>
      <c r="AD612" s="149"/>
      <c r="AE612" s="149"/>
      <c r="AF612" s="149"/>
      <c r="AG612" s="149"/>
      <c r="AH612" s="149"/>
      <c r="AI612" s="149"/>
      <c r="AJ612" s="149"/>
      <c r="AK612" s="149"/>
      <c r="AL612" s="149"/>
      <c r="AM612" s="149"/>
      <c r="AN612" s="149"/>
      <c r="AP612" s="2"/>
      <c r="AS612" s="19"/>
      <c r="BM612" s="19"/>
      <c r="BN612" s="2"/>
      <c r="BR612" s="19"/>
    </row>
    <row r="613" spans="1:70" x14ac:dyDescent="0.35">
      <c r="A613" s="149"/>
      <c r="E613" s="149"/>
      <c r="F613" s="149"/>
      <c r="G613" s="149"/>
      <c r="H613" s="149"/>
      <c r="I613" s="149"/>
      <c r="J613" s="149"/>
      <c r="K613" s="149"/>
      <c r="L613" s="149"/>
      <c r="M613" s="149"/>
      <c r="N613" s="149"/>
      <c r="O613" s="149"/>
      <c r="P613" s="149"/>
      <c r="Q613" s="149"/>
      <c r="R613" s="149"/>
      <c r="S613" s="149"/>
      <c r="T613" s="149"/>
      <c r="U613" s="149"/>
      <c r="V613" s="149"/>
      <c r="W613" s="149"/>
      <c r="X613" s="149"/>
      <c r="Y613" s="149"/>
      <c r="Z613" s="149"/>
      <c r="AA613" s="149"/>
      <c r="AB613" s="149"/>
      <c r="AC613" s="149"/>
      <c r="AD613" s="149"/>
      <c r="AE613" s="149"/>
      <c r="AF613" s="149"/>
      <c r="AG613" s="149"/>
      <c r="AH613" s="149"/>
      <c r="AI613" s="149"/>
      <c r="AJ613" s="149"/>
      <c r="AK613" s="149"/>
      <c r="AL613" s="149"/>
      <c r="AM613" s="149"/>
      <c r="AN613" s="149"/>
      <c r="AP613" s="2"/>
      <c r="AS613" s="19"/>
      <c r="BM613" s="19"/>
      <c r="BN613" s="2"/>
      <c r="BR613" s="19"/>
    </row>
    <row r="614" spans="1:70" x14ac:dyDescent="0.35">
      <c r="A614" s="149"/>
      <c r="E614" s="149"/>
      <c r="F614" s="149"/>
      <c r="G614" s="149"/>
      <c r="H614" s="149"/>
      <c r="I614" s="149"/>
      <c r="J614" s="149"/>
      <c r="K614" s="149"/>
      <c r="L614" s="149"/>
      <c r="M614" s="149"/>
      <c r="N614" s="149"/>
      <c r="O614" s="149"/>
      <c r="P614" s="149"/>
      <c r="Q614" s="149"/>
      <c r="R614" s="149"/>
      <c r="S614" s="149"/>
      <c r="T614" s="149"/>
      <c r="U614" s="149"/>
      <c r="V614" s="149"/>
      <c r="W614" s="149"/>
      <c r="X614" s="149"/>
      <c r="Y614" s="149"/>
      <c r="Z614" s="149"/>
      <c r="AA614" s="149"/>
      <c r="AB614" s="149"/>
      <c r="AC614" s="149"/>
      <c r="AD614" s="149"/>
      <c r="AE614" s="149"/>
      <c r="AF614" s="149"/>
      <c r="AG614" s="149"/>
      <c r="AH614" s="149"/>
      <c r="AI614" s="149"/>
      <c r="AJ614" s="149"/>
      <c r="AK614" s="149"/>
      <c r="AL614" s="149"/>
      <c r="AM614" s="149"/>
      <c r="AN614" s="149"/>
      <c r="AP614" s="2"/>
      <c r="AS614" s="19"/>
      <c r="BM614" s="19"/>
      <c r="BN614" s="2"/>
      <c r="BR614" s="19"/>
    </row>
    <row r="615" spans="1:70" x14ac:dyDescent="0.35">
      <c r="A615" s="149"/>
      <c r="E615" s="149"/>
      <c r="F615" s="149"/>
      <c r="G615" s="149"/>
      <c r="H615" s="149"/>
      <c r="I615" s="149"/>
      <c r="J615" s="149"/>
      <c r="K615" s="149"/>
      <c r="L615" s="149"/>
      <c r="M615" s="149"/>
      <c r="N615" s="149"/>
      <c r="O615" s="149"/>
      <c r="P615" s="149"/>
      <c r="Q615" s="149"/>
      <c r="R615" s="149"/>
      <c r="S615" s="149"/>
      <c r="T615" s="149"/>
      <c r="U615" s="149"/>
      <c r="V615" s="149"/>
      <c r="W615" s="149"/>
      <c r="X615" s="149"/>
      <c r="Y615" s="149"/>
      <c r="Z615" s="149"/>
      <c r="AA615" s="149"/>
      <c r="AB615" s="149"/>
      <c r="AC615" s="149"/>
      <c r="AD615" s="149"/>
      <c r="AE615" s="149"/>
      <c r="AF615" s="149"/>
      <c r="AG615" s="149"/>
      <c r="AH615" s="149"/>
      <c r="AI615" s="149"/>
      <c r="AJ615" s="149"/>
      <c r="AK615" s="149"/>
      <c r="AL615" s="149"/>
      <c r="AM615" s="149"/>
      <c r="AN615" s="149"/>
      <c r="AP615" s="2"/>
      <c r="AS615" s="19"/>
      <c r="BM615" s="19"/>
      <c r="BN615" s="2"/>
      <c r="BR615" s="19"/>
    </row>
    <row r="616" spans="1:70" x14ac:dyDescent="0.35">
      <c r="A616" s="149"/>
      <c r="E616" s="149"/>
      <c r="F616" s="149"/>
      <c r="G616" s="149"/>
      <c r="H616" s="149"/>
      <c r="I616" s="149"/>
      <c r="J616" s="149"/>
      <c r="K616" s="149"/>
      <c r="L616" s="149"/>
      <c r="M616" s="149"/>
      <c r="N616" s="149"/>
      <c r="O616" s="149"/>
      <c r="P616" s="149"/>
      <c r="Q616" s="149"/>
      <c r="R616" s="149"/>
      <c r="S616" s="149"/>
      <c r="T616" s="149"/>
      <c r="U616" s="149"/>
      <c r="V616" s="149"/>
      <c r="W616" s="149"/>
      <c r="X616" s="149"/>
      <c r="Y616" s="149"/>
      <c r="Z616" s="149"/>
      <c r="AA616" s="149"/>
      <c r="AB616" s="149"/>
      <c r="AC616" s="149"/>
      <c r="AD616" s="149"/>
      <c r="AE616" s="149"/>
      <c r="AF616" s="149"/>
      <c r="AG616" s="149"/>
      <c r="AH616" s="149"/>
      <c r="AI616" s="149"/>
      <c r="AJ616" s="149"/>
      <c r="AK616" s="149"/>
      <c r="AL616" s="149"/>
      <c r="AM616" s="149"/>
      <c r="AN616" s="149"/>
      <c r="AP616" s="2"/>
      <c r="AS616" s="19"/>
      <c r="BM616" s="19"/>
      <c r="BN616" s="2"/>
      <c r="BR616" s="19"/>
    </row>
    <row r="617" spans="1:70" x14ac:dyDescent="0.35">
      <c r="A617" s="149"/>
      <c r="E617" s="149"/>
      <c r="F617" s="149"/>
      <c r="G617" s="149"/>
      <c r="H617" s="149"/>
      <c r="I617" s="149"/>
      <c r="J617" s="149"/>
      <c r="K617" s="149"/>
      <c r="L617" s="149"/>
      <c r="M617" s="149"/>
      <c r="N617" s="149"/>
      <c r="O617" s="149"/>
      <c r="P617" s="149"/>
      <c r="Q617" s="149"/>
      <c r="R617" s="149"/>
      <c r="S617" s="149"/>
      <c r="T617" s="149"/>
      <c r="U617" s="149"/>
      <c r="V617" s="149"/>
      <c r="W617" s="149"/>
      <c r="X617" s="149"/>
      <c r="Y617" s="149"/>
      <c r="Z617" s="149"/>
      <c r="AA617" s="149"/>
      <c r="AB617" s="149"/>
      <c r="AC617" s="149"/>
      <c r="AD617" s="149"/>
      <c r="AE617" s="149"/>
      <c r="AF617" s="149"/>
      <c r="AG617" s="149"/>
      <c r="AH617" s="149"/>
      <c r="AI617" s="149"/>
      <c r="AJ617" s="149"/>
      <c r="AK617" s="149"/>
      <c r="AL617" s="149"/>
      <c r="AM617" s="149"/>
      <c r="AN617" s="149"/>
      <c r="AP617" s="2"/>
      <c r="AS617" s="19"/>
      <c r="BM617" s="19"/>
      <c r="BN617" s="2"/>
      <c r="BR617" s="19"/>
    </row>
    <row r="618" spans="1:70" x14ac:dyDescent="0.35">
      <c r="AP618" s="2"/>
      <c r="AS618" s="19"/>
      <c r="BM618" s="19"/>
      <c r="BN618" s="2"/>
      <c r="BR618" s="19"/>
    </row>
    <row r="619" spans="1:70" x14ac:dyDescent="0.35">
      <c r="AP619" s="2"/>
      <c r="AS619" s="19"/>
      <c r="BM619" s="19"/>
      <c r="BN619" s="2"/>
      <c r="BR619" s="19"/>
    </row>
    <row r="620" spans="1:70" x14ac:dyDescent="0.35">
      <c r="AP620" s="2"/>
      <c r="AS620" s="19"/>
      <c r="BM620" s="19"/>
      <c r="BN620" s="2"/>
      <c r="BR620" s="19"/>
    </row>
    <row r="621" spans="1:70" x14ac:dyDescent="0.35">
      <c r="AP621" s="2"/>
      <c r="AS621" s="19"/>
      <c r="BM621" s="19"/>
      <c r="BN621" s="2"/>
      <c r="BR621" s="19"/>
    </row>
    <row r="622" spans="1:70" x14ac:dyDescent="0.35">
      <c r="AP622" s="2"/>
      <c r="AS622" s="19"/>
      <c r="BM622" s="19"/>
      <c r="BN622" s="2"/>
      <c r="BR622" s="19"/>
    </row>
    <row r="623" spans="1:70" x14ac:dyDescent="0.35">
      <c r="AP623" s="2"/>
      <c r="AS623" s="19"/>
      <c r="BM623" s="19"/>
      <c r="BN623" s="2"/>
      <c r="BR623" s="19"/>
    </row>
    <row r="624" spans="1:70" x14ac:dyDescent="0.35">
      <c r="AP624" s="2"/>
      <c r="AS624" s="19"/>
      <c r="BM624" s="19"/>
      <c r="BN624" s="2"/>
      <c r="BR624" s="19"/>
    </row>
    <row r="625" spans="42:70" x14ac:dyDescent="0.35">
      <c r="AP625" s="2"/>
      <c r="AS625" s="19"/>
      <c r="BM625" s="19"/>
      <c r="BN625" s="2"/>
      <c r="BR625" s="19"/>
    </row>
    <row r="626" spans="42:70" x14ac:dyDescent="0.35">
      <c r="AP626" s="2"/>
      <c r="AS626" s="19"/>
      <c r="BM626" s="19"/>
      <c r="BN626" s="2"/>
      <c r="BR626" s="19"/>
    </row>
    <row r="627" spans="42:70" x14ac:dyDescent="0.35">
      <c r="AP627" s="2"/>
      <c r="AS627" s="19"/>
      <c r="BM627" s="19"/>
      <c r="BN627" s="2"/>
      <c r="BR627" s="19"/>
    </row>
    <row r="628" spans="42:70" x14ac:dyDescent="0.35">
      <c r="AP628" s="2"/>
      <c r="AS628" s="19"/>
      <c r="BM628" s="19"/>
      <c r="BN628" s="2"/>
      <c r="BR628" s="19"/>
    </row>
    <row r="629" spans="42:70" x14ac:dyDescent="0.35">
      <c r="AP629" s="2"/>
      <c r="AS629" s="19"/>
      <c r="BM629" s="19"/>
      <c r="BN629" s="2"/>
      <c r="BR629" s="19"/>
    </row>
    <row r="630" spans="42:70" x14ac:dyDescent="0.35">
      <c r="AP630" s="2"/>
      <c r="AS630" s="19"/>
      <c r="BM630" s="19"/>
      <c r="BN630" s="2"/>
      <c r="BR630" s="19"/>
    </row>
    <row r="631" spans="42:70" x14ac:dyDescent="0.35">
      <c r="AP631" s="2"/>
      <c r="AS631" s="19"/>
      <c r="BM631" s="19"/>
      <c r="BN631" s="2"/>
      <c r="BR631" s="19"/>
    </row>
    <row r="632" spans="42:70" x14ac:dyDescent="0.35">
      <c r="AP632" s="2"/>
      <c r="AS632" s="19"/>
      <c r="BM632" s="19"/>
      <c r="BN632" s="2"/>
      <c r="BR632" s="19"/>
    </row>
    <row r="633" spans="42:70" x14ac:dyDescent="0.35">
      <c r="AP633" s="2"/>
      <c r="AS633" s="19"/>
      <c r="BM633" s="19"/>
      <c r="BN633" s="2"/>
      <c r="BR633" s="19"/>
    </row>
    <row r="634" spans="42:70" x14ac:dyDescent="0.35">
      <c r="AP634" s="2"/>
      <c r="AS634" s="19"/>
      <c r="BM634" s="19"/>
      <c r="BN634" s="2"/>
      <c r="BR634" s="19"/>
    </row>
    <row r="635" spans="42:70" x14ac:dyDescent="0.35">
      <c r="AP635" s="2"/>
      <c r="AS635" s="19"/>
      <c r="BM635" s="19"/>
      <c r="BN635" s="2"/>
      <c r="BR635" s="19"/>
    </row>
    <row r="636" spans="42:70" x14ac:dyDescent="0.35">
      <c r="AP636" s="2"/>
      <c r="AS636" s="19"/>
      <c r="BM636" s="19"/>
      <c r="BN636" s="2"/>
      <c r="BR636" s="19"/>
    </row>
    <row r="637" spans="42:70" x14ac:dyDescent="0.35">
      <c r="AP637" s="2"/>
      <c r="AS637" s="19"/>
      <c r="BM637" s="19"/>
      <c r="BN637" s="2"/>
      <c r="BR637" s="19"/>
    </row>
    <row r="638" spans="42:70" x14ac:dyDescent="0.35">
      <c r="AP638" s="2"/>
      <c r="AS638" s="19"/>
      <c r="BM638" s="19"/>
      <c r="BN638" s="2"/>
      <c r="BR638" s="19"/>
    </row>
  </sheetData>
  <sheetProtection algorithmName="SHA-512" hashValue="OR4MVaQz9e+C2aCG3XjT8WYHQczjywIbbmN56fJRNAPVvTwLDyfm3z/lelUEX5labDMdm1Ojqi1oI1AaRey5Pg==" saltValue="uKFmRotbMMlkzyL7ArhVeQ==" spinCount="100000" sheet="1" objects="1" scenarios="1"/>
  <mergeCells count="4">
    <mergeCell ref="C257:G257"/>
    <mergeCell ref="R257:V257"/>
    <mergeCell ref="M257:Q257"/>
    <mergeCell ref="H257:L257"/>
  </mergeCells>
  <pageMargins left="0.7" right="0.7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5"/>
  <dimension ref="A1:AF123"/>
  <sheetViews>
    <sheetView topLeftCell="A33" zoomScale="109" zoomScaleNormal="80" zoomScalePageLayoutView="70" workbookViewId="0">
      <selection activeCell="D49" sqref="D49"/>
    </sheetView>
  </sheetViews>
  <sheetFormatPr defaultColWidth="8.7265625" defaultRowHeight="14.5" x14ac:dyDescent="0.35"/>
  <cols>
    <col min="1" max="1" width="8.7265625" style="1"/>
    <col min="2" max="2" width="45.26953125" style="1" customWidth="1"/>
    <col min="3" max="3" width="11.453125" style="1" customWidth="1"/>
    <col min="4" max="4" width="11.453125" style="1" bestFit="1" customWidth="1"/>
    <col min="5" max="5" width="138.7265625" style="1" customWidth="1"/>
    <col min="6" max="12" width="8.7265625" style="1"/>
    <col min="13" max="16" width="20.7265625" style="1" customWidth="1"/>
    <col min="17" max="17" width="8.7265625" style="1"/>
    <col min="18" max="18" width="8.7265625" style="1" customWidth="1"/>
    <col min="19" max="19" width="8.7265625" style="1" hidden="1" customWidth="1"/>
    <col min="20" max="20" width="11.7265625" style="1" hidden="1" customWidth="1"/>
    <col min="21" max="21" width="8.26953125" style="1" hidden="1" customWidth="1"/>
    <col min="22" max="22" width="10.7265625" style="1" hidden="1" customWidth="1"/>
    <col min="23" max="23" width="17.453125" style="1" hidden="1" customWidth="1"/>
    <col min="24" max="24" width="6.26953125" style="1" hidden="1" customWidth="1"/>
    <col min="25" max="25" width="24" style="1" hidden="1" customWidth="1"/>
    <col min="26" max="26" width="35.26953125" style="1" hidden="1" customWidth="1"/>
    <col min="27" max="27" width="34.26953125" style="1" hidden="1" customWidth="1"/>
    <col min="28" max="28" width="35.26953125" style="1" hidden="1" customWidth="1"/>
    <col min="29" max="29" width="25.26953125" style="1" hidden="1" customWidth="1"/>
    <col min="30" max="30" width="33.7265625" style="1" hidden="1" customWidth="1"/>
    <col min="31" max="31" width="11.7265625" style="1" hidden="1" customWidth="1"/>
    <col min="32" max="32" width="22.7265625" style="1" hidden="1" customWidth="1"/>
    <col min="33" max="16384" width="8.7265625" style="1"/>
  </cols>
  <sheetData>
    <row r="1" spans="1:32" x14ac:dyDescent="0.35">
      <c r="A1" s="3" t="s">
        <v>357</v>
      </c>
      <c r="T1" s="1" t="s">
        <v>358</v>
      </c>
      <c r="W1" s="149"/>
      <c r="X1" s="149"/>
      <c r="Y1" s="149"/>
      <c r="Z1" s="149"/>
      <c r="AA1" s="149"/>
      <c r="AB1" s="149"/>
      <c r="AC1" s="149"/>
      <c r="AD1" s="149"/>
    </row>
    <row r="2" spans="1:32" ht="21" customHeight="1" x14ac:dyDescent="0.35">
      <c r="B2" s="4" t="s">
        <v>84</v>
      </c>
      <c r="C2" s="42" t="s">
        <v>151</v>
      </c>
      <c r="D2" s="42" t="s">
        <v>85</v>
      </c>
      <c r="E2" s="43" t="s">
        <v>359</v>
      </c>
      <c r="S2" s="1" t="s">
        <v>360</v>
      </c>
      <c r="T2" s="150" t="s">
        <v>279</v>
      </c>
      <c r="U2" s="150" t="s">
        <v>361</v>
      </c>
      <c r="V2" s="150" t="s">
        <v>362</v>
      </c>
      <c r="W2" s="148" t="s">
        <v>363</v>
      </c>
      <c r="X2" s="148" t="s">
        <v>303</v>
      </c>
      <c r="Y2" s="148" t="s">
        <v>364</v>
      </c>
      <c r="Z2" s="148" t="s">
        <v>365</v>
      </c>
      <c r="AA2" s="148" t="s">
        <v>366</v>
      </c>
      <c r="AB2" s="148" t="s">
        <v>367</v>
      </c>
      <c r="AC2" s="148" t="s">
        <v>368</v>
      </c>
      <c r="AD2" s="148" t="s">
        <v>369</v>
      </c>
      <c r="AE2" s="148" t="s">
        <v>370</v>
      </c>
      <c r="AF2" s="18" t="s">
        <v>371</v>
      </c>
    </row>
    <row r="3" spans="1:32" x14ac:dyDescent="0.35">
      <c r="B3" s="20" t="s">
        <v>372</v>
      </c>
      <c r="C3" s="21" t="s">
        <v>373</v>
      </c>
      <c r="D3" s="435">
        <v>10000</v>
      </c>
      <c r="E3" s="23" t="s">
        <v>374</v>
      </c>
      <c r="S3" s="1" t="s">
        <v>375</v>
      </c>
      <c r="T3" s="2">
        <v>2018</v>
      </c>
      <c r="U3" s="1" t="s">
        <v>94</v>
      </c>
      <c r="W3" s="149"/>
      <c r="X3" s="149">
        <v>1990</v>
      </c>
      <c r="Y3" s="149"/>
      <c r="Z3" s="149"/>
      <c r="AB3" s="1" t="s">
        <v>304</v>
      </c>
      <c r="AC3" s="1" t="s">
        <v>307</v>
      </c>
      <c r="AE3" s="1" t="s">
        <v>376</v>
      </c>
      <c r="AF3" s="18" t="s">
        <v>377</v>
      </c>
    </row>
    <row r="4" spans="1:32" x14ac:dyDescent="0.35">
      <c r="B4" s="15" t="s">
        <v>378</v>
      </c>
      <c r="C4" s="34" t="s">
        <v>379</v>
      </c>
      <c r="D4" s="27">
        <f>'PSRC Assumptions'!C27</f>
        <v>250</v>
      </c>
      <c r="E4" s="35" t="s">
        <v>380</v>
      </c>
      <c r="S4" s="1" t="s">
        <v>381</v>
      </c>
      <c r="T4" s="2">
        <v>2019</v>
      </c>
      <c r="U4" s="1" t="s">
        <v>120</v>
      </c>
      <c r="W4" s="149"/>
      <c r="X4" s="149">
        <v>1991</v>
      </c>
      <c r="Y4" s="149"/>
      <c r="AB4" s="1" t="s">
        <v>305</v>
      </c>
      <c r="AC4" s="1" t="s">
        <v>311</v>
      </c>
      <c r="AE4" s="1" t="s">
        <v>382</v>
      </c>
      <c r="AF4" s="18" t="s">
        <v>383</v>
      </c>
    </row>
    <row r="5" spans="1:32" x14ac:dyDescent="0.35">
      <c r="B5" s="106"/>
      <c r="C5" s="106"/>
      <c r="D5" s="203"/>
      <c r="E5" s="106"/>
      <c r="T5" s="2">
        <v>2020</v>
      </c>
      <c r="W5" s="149"/>
      <c r="X5" s="149">
        <v>1992</v>
      </c>
      <c r="Y5" s="149"/>
      <c r="Z5" s="149"/>
      <c r="AA5" s="149"/>
      <c r="AB5" s="1" t="s">
        <v>306</v>
      </c>
      <c r="AC5" s="1" t="s">
        <v>315</v>
      </c>
      <c r="AF5" s="18"/>
    </row>
    <row r="6" spans="1:32" x14ac:dyDescent="0.35">
      <c r="B6" s="106"/>
      <c r="C6" s="106"/>
      <c r="D6" s="203"/>
      <c r="E6" s="106"/>
      <c r="T6" s="2">
        <v>2021</v>
      </c>
      <c r="W6" s="149"/>
      <c r="X6" s="149">
        <v>1993</v>
      </c>
      <c r="Y6" s="149"/>
      <c r="Z6" s="149"/>
      <c r="AA6" s="149"/>
      <c r="AB6" s="1" t="s">
        <v>308</v>
      </c>
      <c r="AC6" s="1" t="s">
        <v>322</v>
      </c>
      <c r="AF6" s="18"/>
    </row>
    <row r="7" spans="1:32" x14ac:dyDescent="0.35">
      <c r="A7" s="3" t="s">
        <v>7</v>
      </c>
      <c r="T7" s="2">
        <v>2022</v>
      </c>
      <c r="W7" s="149"/>
      <c r="X7" s="149">
        <v>1994</v>
      </c>
      <c r="Y7" s="149"/>
      <c r="AB7" s="1" t="s">
        <v>310</v>
      </c>
      <c r="AC7" s="1" t="s">
        <v>323</v>
      </c>
      <c r="AF7" s="18"/>
    </row>
    <row r="8" spans="1:32" x14ac:dyDescent="0.35">
      <c r="B8" s="4" t="s">
        <v>84</v>
      </c>
      <c r="C8" s="42" t="s">
        <v>151</v>
      </c>
      <c r="D8" s="42" t="s">
        <v>85</v>
      </c>
      <c r="E8" s="43" t="s">
        <v>359</v>
      </c>
      <c r="T8" s="2">
        <v>2023</v>
      </c>
      <c r="W8" s="149"/>
      <c r="X8" s="149">
        <v>1995</v>
      </c>
      <c r="Y8" s="149"/>
      <c r="AB8" s="1" t="s">
        <v>309</v>
      </c>
      <c r="AC8" s="1" t="s">
        <v>318</v>
      </c>
      <c r="AF8" s="18"/>
    </row>
    <row r="9" spans="1:32" x14ac:dyDescent="0.35">
      <c r="B9" s="5" t="s">
        <v>384</v>
      </c>
      <c r="C9" s="6" t="s">
        <v>385</v>
      </c>
      <c r="D9" s="310">
        <f>'PSRC Assumptions'!$C$2</f>
        <v>7.55</v>
      </c>
      <c r="E9" s="152" t="str">
        <f>VLOOKUP(B9,'PSRC Assumptions'!$A$2:$E$23,4, FALSE)</f>
        <v>PSRC 2017/2019 Regional Travel Study</v>
      </c>
      <c r="T9" s="2">
        <v>2024</v>
      </c>
      <c r="W9" s="149"/>
      <c r="X9" s="149">
        <v>1996</v>
      </c>
      <c r="Y9" s="149"/>
      <c r="AB9" s="1" t="s">
        <v>312</v>
      </c>
      <c r="AC9" s="1" t="s">
        <v>319</v>
      </c>
      <c r="AF9" s="18"/>
    </row>
    <row r="10" spans="1:32" x14ac:dyDescent="0.35">
      <c r="B10" s="5" t="s">
        <v>93</v>
      </c>
      <c r="C10" s="7" t="s">
        <v>386</v>
      </c>
      <c r="D10" s="311">
        <v>0.66700000000000004</v>
      </c>
      <c r="E10" s="30" t="s">
        <v>387</v>
      </c>
      <c r="T10" s="2">
        <v>2025</v>
      </c>
      <c r="W10" s="149"/>
      <c r="X10" s="149">
        <v>1997</v>
      </c>
      <c r="Y10" s="149"/>
      <c r="AB10" s="1" t="s">
        <v>313</v>
      </c>
      <c r="AC10" s="1" t="s">
        <v>326</v>
      </c>
      <c r="AD10" s="149"/>
      <c r="AF10" s="18"/>
    </row>
    <row r="11" spans="1:32" x14ac:dyDescent="0.35">
      <c r="B11" s="15" t="s">
        <v>388</v>
      </c>
      <c r="C11" s="34" t="s">
        <v>389</v>
      </c>
      <c r="D11" s="192">
        <f>'PSRC Assumptions'!$C$4</f>
        <v>1.32</v>
      </c>
      <c r="E11" s="35" t="str">
        <f>VLOOKUP(B11,'PSRC Assumptions'!$A$2:$E$23,4, FALSE)</f>
        <v>PSRC 2017/2019 Regional Travel Study</v>
      </c>
      <c r="T11" s="2">
        <v>2026</v>
      </c>
      <c r="W11" s="149"/>
      <c r="X11" s="149">
        <v>1998</v>
      </c>
      <c r="Y11" s="149"/>
      <c r="AB11" s="1" t="s">
        <v>317</v>
      </c>
      <c r="AC11" s="1" t="s">
        <v>327</v>
      </c>
      <c r="AD11" s="149"/>
      <c r="AF11" s="18"/>
    </row>
    <row r="12" spans="1:32" x14ac:dyDescent="0.35">
      <c r="B12" s="106"/>
      <c r="C12" s="106"/>
      <c r="D12" s="202"/>
      <c r="E12" s="199"/>
      <c r="T12" s="2">
        <v>2027</v>
      </c>
      <c r="W12" s="149"/>
      <c r="X12" s="149">
        <v>1999</v>
      </c>
      <c r="Y12" s="149"/>
      <c r="AB12" s="1" t="s">
        <v>316</v>
      </c>
      <c r="AC12" s="149" t="s">
        <v>331</v>
      </c>
      <c r="AF12" s="18"/>
    </row>
    <row r="13" spans="1:32" x14ac:dyDescent="0.35">
      <c r="A13" s="3" t="s">
        <v>11</v>
      </c>
      <c r="T13" s="2">
        <v>2028</v>
      </c>
      <c r="X13" s="149">
        <v>2000</v>
      </c>
      <c r="Y13" s="149"/>
      <c r="AB13" s="1" t="s">
        <v>318</v>
      </c>
      <c r="AC13" s="149" t="s">
        <v>330</v>
      </c>
      <c r="AF13" s="18"/>
    </row>
    <row r="14" spans="1:32" ht="18" customHeight="1" x14ac:dyDescent="0.35">
      <c r="B14" s="4" t="s">
        <v>84</v>
      </c>
      <c r="C14" s="42" t="s">
        <v>151</v>
      </c>
      <c r="D14" s="42" t="s">
        <v>85</v>
      </c>
      <c r="E14" s="43" t="s">
        <v>359</v>
      </c>
      <c r="T14" s="2">
        <v>2029</v>
      </c>
      <c r="X14" s="149">
        <v>2001</v>
      </c>
      <c r="AB14" s="1" t="s">
        <v>320</v>
      </c>
      <c r="AC14" s="1" t="s">
        <v>335</v>
      </c>
      <c r="AF14" s="18"/>
    </row>
    <row r="15" spans="1:32" x14ac:dyDescent="0.35">
      <c r="B15" s="164" t="s">
        <v>384</v>
      </c>
      <c r="C15" s="39" t="s">
        <v>385</v>
      </c>
      <c r="D15" s="310">
        <f>'PSRC Assumptions'!$C$2</f>
        <v>7.55</v>
      </c>
      <c r="E15" s="152" t="str">
        <f>VLOOKUP(B15,'PSRC Assumptions'!$A$2:$E$23,4, FALSE)</f>
        <v>PSRC 2017/2019 Regional Travel Study</v>
      </c>
      <c r="T15" s="2">
        <v>2030</v>
      </c>
      <c r="X15" s="149">
        <v>2002</v>
      </c>
      <c r="AB15" s="1" t="s">
        <v>321</v>
      </c>
      <c r="AC15" s="1" t="s">
        <v>334</v>
      </c>
      <c r="AF15" s="18"/>
    </row>
    <row r="16" spans="1:32" x14ac:dyDescent="0.35">
      <c r="B16" s="25" t="s">
        <v>388</v>
      </c>
      <c r="C16" s="26" t="s">
        <v>389</v>
      </c>
      <c r="D16" s="312">
        <f>'PSRC Assumptions'!$C$4</f>
        <v>1.32</v>
      </c>
      <c r="E16" s="152" t="str">
        <f>VLOOKUP(B16,'PSRC Assumptions'!$A$2:$E$23,4, FALSE)</f>
        <v>PSRC 2017/2019 Regional Travel Study</v>
      </c>
      <c r="T16" s="2">
        <v>2031</v>
      </c>
      <c r="X16" s="149">
        <v>2003</v>
      </c>
      <c r="AB16" s="1" t="s">
        <v>322</v>
      </c>
      <c r="AC16" s="1" t="s">
        <v>339</v>
      </c>
      <c r="AF16" s="18"/>
    </row>
    <row r="17" spans="1:32" x14ac:dyDescent="0.35">
      <c r="B17" s="14" t="s">
        <v>93</v>
      </c>
      <c r="C17" s="28" t="s">
        <v>386</v>
      </c>
      <c r="D17" s="29">
        <v>0.66700000000000004</v>
      </c>
      <c r="E17" s="30" t="s">
        <v>387</v>
      </c>
      <c r="H17" s="41"/>
      <c r="T17" s="2">
        <v>2032</v>
      </c>
      <c r="W17" s="149"/>
      <c r="X17" s="149">
        <v>2004</v>
      </c>
      <c r="AB17" s="1" t="s">
        <v>324</v>
      </c>
      <c r="AC17" s="1" t="s">
        <v>338</v>
      </c>
      <c r="AF17" s="18"/>
    </row>
    <row r="18" spans="1:32" ht="26" x14ac:dyDescent="0.35">
      <c r="B18" s="16" t="s">
        <v>390</v>
      </c>
      <c r="C18" s="36" t="s">
        <v>386</v>
      </c>
      <c r="D18" s="37"/>
      <c r="E18" s="557" t="s">
        <v>391</v>
      </c>
      <c r="H18" s="41"/>
      <c r="T18" s="2">
        <v>2033</v>
      </c>
      <c r="W18" s="149"/>
      <c r="X18" s="149">
        <v>2005</v>
      </c>
      <c r="AB18" s="149" t="s">
        <v>325</v>
      </c>
      <c r="AC18" s="1" t="s">
        <v>342</v>
      </c>
    </row>
    <row r="19" spans="1:32" x14ac:dyDescent="0.35">
      <c r="B19" s="10" t="s">
        <v>392</v>
      </c>
      <c r="C19" s="8"/>
      <c r="D19" s="9">
        <f>(D22-D21)*D23</f>
        <v>2.5336708860759661E-2</v>
      </c>
      <c r="E19" s="558"/>
      <c r="T19" s="2">
        <v>2034</v>
      </c>
      <c r="W19" s="149"/>
      <c r="X19" s="149">
        <v>2006</v>
      </c>
      <c r="AB19" s="1" t="s">
        <v>326</v>
      </c>
      <c r="AC19" s="1" t="s">
        <v>341</v>
      </c>
    </row>
    <row r="20" spans="1:32" x14ac:dyDescent="0.35">
      <c r="B20" s="38" t="s">
        <v>393</v>
      </c>
      <c r="C20" s="39"/>
      <c r="D20" s="40">
        <v>0.01</v>
      </c>
      <c r="E20" s="559"/>
      <c r="T20" s="2">
        <v>2035</v>
      </c>
      <c r="W20" s="149"/>
      <c r="X20" s="149">
        <v>2007</v>
      </c>
      <c r="AB20" s="149" t="s">
        <v>328</v>
      </c>
      <c r="AC20" s="1" t="s">
        <v>345</v>
      </c>
    </row>
    <row r="21" spans="1:32" x14ac:dyDescent="0.35">
      <c r="B21" s="14" t="s">
        <v>394</v>
      </c>
      <c r="C21" s="31" t="s">
        <v>386</v>
      </c>
      <c r="D21" s="32">
        <v>0.26</v>
      </c>
      <c r="E21" s="30" t="s">
        <v>395</v>
      </c>
      <c r="T21" s="2">
        <v>2036</v>
      </c>
      <c r="W21" s="149"/>
      <c r="X21" s="149">
        <v>2008</v>
      </c>
      <c r="AB21" s="1" t="s">
        <v>329</v>
      </c>
      <c r="AC21" s="1" t="s">
        <v>344</v>
      </c>
    </row>
    <row r="22" spans="1:32" ht="26" x14ac:dyDescent="0.35">
      <c r="B22" s="14" t="s">
        <v>396</v>
      </c>
      <c r="C22" s="31" t="s">
        <v>386</v>
      </c>
      <c r="D22" s="32">
        <v>0.21308016877637101</v>
      </c>
      <c r="E22" s="33" t="s">
        <v>397</v>
      </c>
      <c r="G22" s="1" t="s">
        <v>1</v>
      </c>
      <c r="T22" s="2">
        <v>2037</v>
      </c>
      <c r="W22" s="149"/>
      <c r="X22" s="149">
        <v>2009</v>
      </c>
      <c r="AB22" s="149" t="s">
        <v>330</v>
      </c>
    </row>
    <row r="23" spans="1:32" ht="26" x14ac:dyDescent="0.35">
      <c r="B23" s="15" t="s">
        <v>126</v>
      </c>
      <c r="C23" s="34" t="s">
        <v>70</v>
      </c>
      <c r="D23" s="27">
        <v>-0.54</v>
      </c>
      <c r="E23" s="35" t="s">
        <v>398</v>
      </c>
      <c r="M23" s="2"/>
      <c r="T23" s="2">
        <v>2038</v>
      </c>
      <c r="W23" s="149"/>
      <c r="X23" s="149">
        <v>2010</v>
      </c>
      <c r="AB23" s="1" t="s">
        <v>332</v>
      </c>
    </row>
    <row r="24" spans="1:32" x14ac:dyDescent="0.35">
      <c r="T24" s="2">
        <v>2039</v>
      </c>
      <c r="W24" s="149"/>
      <c r="X24" s="149">
        <v>2011</v>
      </c>
      <c r="AB24" s="1" t="s">
        <v>333</v>
      </c>
    </row>
    <row r="25" spans="1:32" x14ac:dyDescent="0.35">
      <c r="A25" s="3" t="s">
        <v>399</v>
      </c>
      <c r="T25" s="2">
        <v>2040</v>
      </c>
      <c r="W25" s="149"/>
      <c r="X25" s="149">
        <v>2012</v>
      </c>
      <c r="AB25" s="1" t="s">
        <v>334</v>
      </c>
    </row>
    <row r="26" spans="1:32" x14ac:dyDescent="0.35">
      <c r="B26" s="4" t="s">
        <v>84</v>
      </c>
      <c r="C26" s="42" t="s">
        <v>151</v>
      </c>
      <c r="D26" s="42" t="s">
        <v>85</v>
      </c>
      <c r="E26" s="43" t="s">
        <v>359</v>
      </c>
      <c r="W26" s="149"/>
      <c r="X26" s="149">
        <v>2013</v>
      </c>
      <c r="AB26" s="1" t="s">
        <v>336</v>
      </c>
      <c r="AE26" s="149"/>
    </row>
    <row r="27" spans="1:32" x14ac:dyDescent="0.35">
      <c r="B27" s="5" t="s">
        <v>134</v>
      </c>
      <c r="C27" s="6" t="s">
        <v>386</v>
      </c>
      <c r="D27" s="29">
        <v>0.45760000000000001</v>
      </c>
      <c r="E27" s="30" t="s">
        <v>400</v>
      </c>
      <c r="W27" s="149"/>
      <c r="X27" s="149">
        <v>2014</v>
      </c>
      <c r="AB27" s="1" t="s">
        <v>337</v>
      </c>
      <c r="AE27" s="149"/>
    </row>
    <row r="28" spans="1:32" x14ac:dyDescent="0.35">
      <c r="B28" s="81" t="s">
        <v>401</v>
      </c>
      <c r="C28" s="82" t="s">
        <v>389</v>
      </c>
      <c r="D28" s="192">
        <v>1.46</v>
      </c>
      <c r="E28" s="151" t="s">
        <v>400</v>
      </c>
      <c r="W28" s="149"/>
      <c r="X28" s="149">
        <v>2015</v>
      </c>
      <c r="AB28" s="1" t="s">
        <v>338</v>
      </c>
      <c r="AE28" s="149"/>
    </row>
    <row r="29" spans="1:32" x14ac:dyDescent="0.35">
      <c r="W29" s="149"/>
      <c r="X29" s="149">
        <v>2016</v>
      </c>
      <c r="AB29" s="1" t="s">
        <v>402</v>
      </c>
      <c r="AE29" s="149"/>
    </row>
    <row r="30" spans="1:32" x14ac:dyDescent="0.35">
      <c r="A30" s="3" t="s">
        <v>403</v>
      </c>
      <c r="W30" s="149"/>
      <c r="X30" s="149">
        <v>2017</v>
      </c>
      <c r="AB30" s="1" t="s">
        <v>340</v>
      </c>
      <c r="AE30" s="149"/>
    </row>
    <row r="31" spans="1:32" x14ac:dyDescent="0.35">
      <c r="B31" s="4" t="s">
        <v>84</v>
      </c>
      <c r="C31" s="42" t="s">
        <v>151</v>
      </c>
      <c r="D31" s="42" t="s">
        <v>85</v>
      </c>
      <c r="E31" s="43" t="s">
        <v>359</v>
      </c>
      <c r="W31" s="149"/>
      <c r="X31" s="149">
        <v>2018</v>
      </c>
      <c r="AB31" s="1" t="s">
        <v>341</v>
      </c>
      <c r="AE31" s="149"/>
    </row>
    <row r="32" spans="1:32" x14ac:dyDescent="0.35">
      <c r="B32" s="5" t="s">
        <v>384</v>
      </c>
      <c r="C32" s="6" t="s">
        <v>385</v>
      </c>
      <c r="D32" s="316">
        <f>'PSRC Assumptions'!$C$3</f>
        <v>7.47</v>
      </c>
      <c r="E32" s="313" t="str">
        <f>VLOOKUP(B32,'PSRC Assumptions'!$A$2:$E$23,4, FALSE)</f>
        <v>PSRC 2017/2019 Regional Travel Study</v>
      </c>
      <c r="M32" s="2"/>
      <c r="T32" s="2"/>
      <c r="W32" s="149"/>
      <c r="X32" s="149">
        <v>2019</v>
      </c>
      <c r="Y32" s="149"/>
      <c r="Z32" s="149"/>
      <c r="AA32" s="149"/>
      <c r="AB32" s="1" t="s">
        <v>404</v>
      </c>
      <c r="AC32" s="149"/>
      <c r="AD32" s="149"/>
      <c r="AE32" s="149"/>
      <c r="AF32" s="149"/>
    </row>
    <row r="33" spans="1:32" ht="26" x14ac:dyDescent="0.35">
      <c r="B33" s="172" t="s">
        <v>405</v>
      </c>
      <c r="C33" s="21" t="s">
        <v>386</v>
      </c>
      <c r="D33" s="335">
        <v>0.5</v>
      </c>
      <c r="E33" s="313" t="str">
        <f>VLOOKUP(B33,'PSRC Assumptions'!$A$2:$E$46,4, FALSE)</f>
        <v>Observed boardings from tranit agencies collected for PSRC travel model validation</v>
      </c>
      <c r="M33" s="2"/>
      <c r="T33" s="2"/>
      <c r="W33" s="149"/>
      <c r="X33" s="149">
        <v>2020</v>
      </c>
      <c r="Y33" s="149"/>
      <c r="Z33" s="149"/>
      <c r="AA33" s="149"/>
      <c r="AB33" s="1" t="s">
        <v>343</v>
      </c>
      <c r="AC33" s="149"/>
      <c r="AD33" s="149"/>
      <c r="AE33" s="149"/>
      <c r="AF33" s="149"/>
    </row>
    <row r="34" spans="1:32" x14ac:dyDescent="0.35">
      <c r="B34" s="20" t="s">
        <v>93</v>
      </c>
      <c r="C34" s="21" t="s">
        <v>386</v>
      </c>
      <c r="D34" s="22">
        <v>0.66700000000000004</v>
      </c>
      <c r="E34" s="23" t="s">
        <v>387</v>
      </c>
      <c r="M34" s="2"/>
      <c r="W34" s="149"/>
      <c r="X34" s="149">
        <v>2021</v>
      </c>
      <c r="Y34" s="149"/>
      <c r="Z34" s="149"/>
      <c r="AA34" s="149"/>
      <c r="AB34" s="1" t="s">
        <v>344</v>
      </c>
      <c r="AC34" s="149"/>
      <c r="AD34" s="149"/>
      <c r="AE34" s="149"/>
      <c r="AF34" s="149"/>
    </row>
    <row r="35" spans="1:32" x14ac:dyDescent="0.35">
      <c r="B35" s="20" t="s">
        <v>406</v>
      </c>
      <c r="C35" s="21"/>
      <c r="D35" s="22">
        <v>-0.129</v>
      </c>
      <c r="E35" s="23" t="s">
        <v>407</v>
      </c>
      <c r="W35" s="149"/>
      <c r="X35" s="149">
        <v>2022</v>
      </c>
      <c r="Y35" s="149"/>
      <c r="Z35" s="149"/>
      <c r="AA35" s="149"/>
      <c r="AB35" s="149"/>
      <c r="AC35" s="149"/>
      <c r="AD35" s="149"/>
      <c r="AE35" s="149"/>
      <c r="AF35" s="149"/>
    </row>
    <row r="36" spans="1:32" x14ac:dyDescent="0.35">
      <c r="B36" s="20" t="s">
        <v>408</v>
      </c>
      <c r="C36" s="319"/>
      <c r="D36" s="22"/>
      <c r="E36" s="560" t="s">
        <v>409</v>
      </c>
      <c r="W36" s="149"/>
      <c r="X36" s="149">
        <v>2023</v>
      </c>
      <c r="Y36" s="149"/>
      <c r="Z36" s="149"/>
      <c r="AA36" s="149"/>
      <c r="AB36" s="149"/>
      <c r="AC36" s="149"/>
      <c r="AD36" s="149"/>
      <c r="AE36" s="149"/>
      <c r="AF36" s="149"/>
    </row>
    <row r="37" spans="1:32" x14ac:dyDescent="0.35">
      <c r="B37" s="322" t="s">
        <v>375</v>
      </c>
      <c r="C37" s="320" t="s">
        <v>386</v>
      </c>
      <c r="D37" s="246">
        <v>0.13500000000000001</v>
      </c>
      <c r="E37" s="561"/>
      <c r="W37" s="149"/>
      <c r="X37" s="149">
        <v>2024</v>
      </c>
      <c r="Y37" s="149"/>
      <c r="Z37" s="149"/>
      <c r="AA37" s="149"/>
      <c r="AB37" s="149"/>
      <c r="AC37" s="149"/>
      <c r="AD37" s="149"/>
      <c r="AE37" s="149"/>
      <c r="AF37" s="149"/>
    </row>
    <row r="38" spans="1:32" ht="15" customHeight="1" x14ac:dyDescent="0.35">
      <c r="B38" s="323" t="s">
        <v>381</v>
      </c>
      <c r="C38" s="321" t="s">
        <v>386</v>
      </c>
      <c r="D38" s="341">
        <v>7.4099999999999999E-2</v>
      </c>
      <c r="E38" s="562"/>
      <c r="T38" s="2"/>
      <c r="W38" s="149"/>
      <c r="X38" s="149">
        <v>2025</v>
      </c>
      <c r="Y38" s="149"/>
      <c r="Z38" s="149"/>
      <c r="AA38" s="149"/>
      <c r="AB38" s="149"/>
      <c r="AC38" s="149"/>
      <c r="AD38" s="149"/>
      <c r="AE38" s="149"/>
      <c r="AF38" s="149"/>
    </row>
    <row r="39" spans="1:32" x14ac:dyDescent="0.35">
      <c r="T39" s="2"/>
      <c r="W39" s="149"/>
      <c r="X39" s="149">
        <v>2026</v>
      </c>
      <c r="Y39" s="149"/>
      <c r="Z39" s="149"/>
      <c r="AA39" s="149"/>
      <c r="AB39" s="149"/>
      <c r="AC39" s="149"/>
      <c r="AD39" s="149"/>
      <c r="AE39" s="149"/>
      <c r="AF39" s="149"/>
    </row>
    <row r="40" spans="1:32" ht="27" customHeight="1" x14ac:dyDescent="0.35">
      <c r="A40" s="3" t="s">
        <v>410</v>
      </c>
      <c r="T40" s="2"/>
      <c r="W40" s="149"/>
      <c r="X40" s="149">
        <v>2027</v>
      </c>
      <c r="Y40" s="149"/>
      <c r="Z40" s="149"/>
      <c r="AA40" s="149"/>
      <c r="AB40" s="149"/>
      <c r="AC40" s="149"/>
      <c r="AD40" s="149"/>
      <c r="AE40" s="149"/>
      <c r="AF40" s="149"/>
    </row>
    <row r="41" spans="1:32" x14ac:dyDescent="0.35">
      <c r="B41" s="4" t="s">
        <v>84</v>
      </c>
      <c r="C41" s="42" t="s">
        <v>151</v>
      </c>
      <c r="D41" s="42" t="s">
        <v>85</v>
      </c>
      <c r="E41" s="43" t="s">
        <v>359</v>
      </c>
      <c r="T41" s="2"/>
      <c r="W41" s="149"/>
      <c r="X41" s="149">
        <v>2028</v>
      </c>
      <c r="Y41" s="149"/>
      <c r="Z41" s="149"/>
      <c r="AA41" s="149"/>
      <c r="AB41" s="149"/>
      <c r="AC41" s="149"/>
      <c r="AD41" s="149"/>
      <c r="AE41" s="149"/>
      <c r="AF41" s="149"/>
    </row>
    <row r="42" spans="1:32" x14ac:dyDescent="0.35">
      <c r="B42" s="5" t="s">
        <v>411</v>
      </c>
      <c r="C42" s="6" t="s">
        <v>386</v>
      </c>
      <c r="D42" s="311">
        <f>'PSRC Assumptions'!$C$9</f>
        <v>0.01</v>
      </c>
      <c r="E42" s="152" t="str">
        <f>VLOOKUP(B42,'PSRC Assumptions'!$A$2:$E$23,4, FALSE)</f>
        <v>PSRC 2017/2019 Regional Travel Study</v>
      </c>
      <c r="W42" s="149"/>
      <c r="X42" s="149">
        <v>2029</v>
      </c>
    </row>
    <row r="43" spans="1:32" x14ac:dyDescent="0.35">
      <c r="B43" s="5" t="s">
        <v>412</v>
      </c>
      <c r="C43" s="6" t="s">
        <v>386</v>
      </c>
      <c r="D43" s="311">
        <f>'PSRC Assumptions'!$C$10</f>
        <v>4.4999999999999998E-2</v>
      </c>
      <c r="E43" s="152" t="str">
        <f>VLOOKUP(B43,'PSRC Assumptions'!$A$2:$E$23,4, FALSE)</f>
        <v>PSRC 2017/2019 Regional Travel Study</v>
      </c>
      <c r="W43" s="149"/>
      <c r="X43" s="149">
        <v>2030</v>
      </c>
    </row>
    <row r="44" spans="1:32" x14ac:dyDescent="0.35">
      <c r="B44" s="5" t="s">
        <v>413</v>
      </c>
      <c r="C44" s="6" t="s">
        <v>386</v>
      </c>
      <c r="D44" s="311">
        <f>'PSRC Assumptions'!$C$13</f>
        <v>0.51514683371343495</v>
      </c>
      <c r="E44" s="152" t="str">
        <f>VLOOKUP(B44,'PSRC Assumptions'!$A$2:$E$23,4, FALSE)</f>
        <v>PSRC 2017/2019 Regional Travel Study</v>
      </c>
      <c r="W44" s="149"/>
      <c r="X44" s="149">
        <v>2031</v>
      </c>
    </row>
    <row r="45" spans="1:32" x14ac:dyDescent="0.35">
      <c r="B45" s="5" t="s">
        <v>414</v>
      </c>
      <c r="C45" s="6" t="s">
        <v>386</v>
      </c>
      <c r="D45" s="506">
        <v>0.32600000000000001</v>
      </c>
      <c r="E45" s="152" t="s">
        <v>415</v>
      </c>
      <c r="W45" s="149"/>
      <c r="X45" s="149">
        <v>2032</v>
      </c>
    </row>
    <row r="46" spans="1:32" x14ac:dyDescent="0.35">
      <c r="B46" s="5" t="s">
        <v>416</v>
      </c>
      <c r="C46" s="6" t="s">
        <v>386</v>
      </c>
      <c r="D46" s="506">
        <v>0.106</v>
      </c>
      <c r="E46" s="152" t="s">
        <v>417</v>
      </c>
      <c r="W46" s="149"/>
      <c r="X46" s="149">
        <v>2033</v>
      </c>
      <c r="Y46" s="149"/>
      <c r="Z46" s="149"/>
      <c r="AA46" s="149"/>
      <c r="AB46" s="149"/>
      <c r="AC46" s="149"/>
      <c r="AD46" s="149"/>
      <c r="AE46" s="149"/>
      <c r="AF46" s="149"/>
    </row>
    <row r="47" spans="1:32" ht="26" x14ac:dyDescent="0.35">
      <c r="B47" s="5" t="s">
        <v>418</v>
      </c>
      <c r="C47" s="6" t="s">
        <v>386</v>
      </c>
      <c r="D47" s="506">
        <v>0.318</v>
      </c>
      <c r="E47" s="152" t="s">
        <v>419</v>
      </c>
      <c r="W47" s="149"/>
      <c r="X47" s="149">
        <v>2034</v>
      </c>
      <c r="Y47" s="149"/>
      <c r="Z47" s="149"/>
      <c r="AA47" s="149"/>
      <c r="AB47" s="149"/>
      <c r="AC47" s="149"/>
      <c r="AD47" s="149"/>
      <c r="AE47" s="149"/>
      <c r="AF47" s="149"/>
    </row>
    <row r="48" spans="1:32" ht="26" x14ac:dyDescent="0.35">
      <c r="B48" s="5" t="s">
        <v>420</v>
      </c>
      <c r="C48" s="6" t="s">
        <v>386</v>
      </c>
      <c r="D48" s="506">
        <v>0.152</v>
      </c>
      <c r="E48" s="152" t="s">
        <v>421</v>
      </c>
      <c r="W48" s="149"/>
      <c r="X48" s="149">
        <v>2035</v>
      </c>
      <c r="Y48" s="149"/>
      <c r="Z48" s="149"/>
      <c r="AA48" s="149"/>
      <c r="AB48" s="149"/>
      <c r="AC48" s="149"/>
      <c r="AD48" s="149"/>
      <c r="AE48" s="149"/>
      <c r="AF48" s="149"/>
    </row>
    <row r="49" spans="1:32" ht="26" x14ac:dyDescent="0.35">
      <c r="B49" s="5" t="s">
        <v>422</v>
      </c>
      <c r="C49" s="6"/>
      <c r="D49" s="311"/>
      <c r="E49" s="152" t="str">
        <f>VLOOKUP(B49,'PSRC Assumptions'!$A$2:$E$46,4, FALSE)</f>
        <v>PSRC 2017/2019 Regional Travel Study</v>
      </c>
      <c r="W49" s="149"/>
      <c r="X49" s="149">
        <v>2036</v>
      </c>
      <c r="Y49" s="149"/>
      <c r="Z49" s="149"/>
      <c r="AA49" s="149"/>
      <c r="AB49" s="149"/>
      <c r="AC49" s="149"/>
      <c r="AD49" s="149"/>
      <c r="AE49" s="149"/>
      <c r="AF49" s="149"/>
    </row>
    <row r="50" spans="1:32" ht="26.25" customHeight="1" x14ac:dyDescent="0.35">
      <c r="B50" s="426" t="s">
        <v>423</v>
      </c>
      <c r="C50" s="6" t="s">
        <v>386</v>
      </c>
      <c r="D50" s="311">
        <f>'PSRC Assumptions'!C44</f>
        <v>0.11799999999999999</v>
      </c>
      <c r="E50" s="152" t="str">
        <f>VLOOKUP(B50,'PSRC Assumptions'!$A$2:$E$46,4, FALSE)</f>
        <v>PSRC 2017/2019 Regional Travel Study</v>
      </c>
      <c r="W50" s="149"/>
      <c r="X50" s="149">
        <v>2037</v>
      </c>
      <c r="Y50" s="149"/>
      <c r="Z50" s="149"/>
      <c r="AA50" s="149"/>
      <c r="AB50" s="149"/>
      <c r="AC50" s="149"/>
      <c r="AD50" s="149"/>
      <c r="AE50" s="149"/>
      <c r="AF50" s="149"/>
    </row>
    <row r="51" spans="1:32" x14ac:dyDescent="0.35">
      <c r="B51" s="426" t="s">
        <v>424</v>
      </c>
      <c r="C51" s="6" t="s">
        <v>386</v>
      </c>
      <c r="D51" s="311">
        <f>'PSRC Assumptions'!C45</f>
        <v>9.9000000000000005E-2</v>
      </c>
      <c r="E51" s="152" t="str">
        <f>VLOOKUP(B51,'PSRC Assumptions'!$A$2:$E$46,4, FALSE)</f>
        <v>PSRC 2017/2019 Regional Travel Study</v>
      </c>
      <c r="W51" s="149"/>
      <c r="X51" s="149">
        <v>2038</v>
      </c>
      <c r="Y51" s="149"/>
      <c r="Z51" s="149"/>
      <c r="AA51" s="149"/>
      <c r="AB51" s="149"/>
      <c r="AC51" s="149"/>
      <c r="AD51" s="149"/>
      <c r="AE51" s="149"/>
      <c r="AF51" s="149"/>
    </row>
    <row r="52" spans="1:32" ht="26" x14ac:dyDescent="0.35">
      <c r="B52" s="5" t="s">
        <v>425</v>
      </c>
      <c r="C52" s="6" t="s">
        <v>386</v>
      </c>
      <c r="D52" s="311">
        <f>'PSRC Assumptions'!$C$19</f>
        <v>4.6540043298623303E-2</v>
      </c>
      <c r="E52" s="152" t="str">
        <f>VLOOKUP(B52,'PSRC Assumptions'!$A$2:$E$23,4, FALSE)</f>
        <v>PSRC 2014 Regional Travel Study; Data Release 3</v>
      </c>
      <c r="W52" s="149"/>
      <c r="X52" s="149">
        <v>2039</v>
      </c>
      <c r="Y52" s="149"/>
      <c r="Z52" s="149"/>
      <c r="AA52" s="149"/>
      <c r="AB52" s="149"/>
      <c r="AC52" s="149"/>
      <c r="AD52" s="149"/>
      <c r="AE52" s="149"/>
      <c r="AF52" s="149"/>
    </row>
    <row r="53" spans="1:32" x14ac:dyDescent="0.35">
      <c r="B53" s="5" t="s">
        <v>426</v>
      </c>
      <c r="C53" s="6" t="s">
        <v>385</v>
      </c>
      <c r="D53" s="314">
        <f>'PSRC Assumptions'!$C$17</f>
        <v>0.59</v>
      </c>
      <c r="E53" s="152" t="str">
        <f>VLOOKUP(B53,'PSRC Assumptions'!$A$2:$E$23,4, FALSE)</f>
        <v>PSRC 2017/2019 Regional Travel Study</v>
      </c>
      <c r="W53" s="149"/>
      <c r="X53" s="149">
        <v>2040</v>
      </c>
      <c r="Y53" s="149"/>
      <c r="Z53" s="149"/>
      <c r="AA53" s="149"/>
      <c r="AB53" s="149"/>
      <c r="AC53" s="149"/>
      <c r="AD53" s="149"/>
      <c r="AE53" s="149"/>
      <c r="AF53" s="149"/>
    </row>
    <row r="54" spans="1:32" x14ac:dyDescent="0.35">
      <c r="B54" s="5" t="s">
        <v>427</v>
      </c>
      <c r="C54" s="6" t="s">
        <v>385</v>
      </c>
      <c r="D54" s="314">
        <f>'PSRC Assumptions'!$C$16</f>
        <v>2.96</v>
      </c>
      <c r="E54" s="152" t="str">
        <f>VLOOKUP(B54,'PSRC Assumptions'!$A$2:$E$23,4, FALSE)</f>
        <v>PSRC 2017/2019 Regional Travel Study</v>
      </c>
      <c r="W54" s="149"/>
      <c r="X54" s="149"/>
      <c r="Y54" s="149"/>
      <c r="Z54" s="149"/>
      <c r="AA54" s="149"/>
      <c r="AB54" s="149"/>
      <c r="AC54" s="149"/>
      <c r="AD54" s="149"/>
      <c r="AE54" s="149"/>
      <c r="AF54" s="149"/>
    </row>
    <row r="55" spans="1:32" ht="26" x14ac:dyDescent="0.35">
      <c r="B55" s="5" t="s">
        <v>158</v>
      </c>
      <c r="C55" s="6" t="s">
        <v>428</v>
      </c>
      <c r="D55" s="314">
        <v>2</v>
      </c>
      <c r="E55" s="30" t="s">
        <v>429</v>
      </c>
      <c r="W55" s="149"/>
      <c r="X55" s="149"/>
      <c r="Y55" s="149"/>
      <c r="Z55" s="149"/>
      <c r="AA55" s="149"/>
      <c r="AB55" s="149"/>
      <c r="AC55" s="149"/>
      <c r="AD55" s="149"/>
      <c r="AE55" s="149"/>
      <c r="AF55" s="149"/>
    </row>
    <row r="56" spans="1:32" x14ac:dyDescent="0.35">
      <c r="B56" s="5" t="s">
        <v>159</v>
      </c>
      <c r="C56" s="6" t="s">
        <v>430</v>
      </c>
      <c r="D56" s="314">
        <f>'PSRC Assumptions'!$C$18</f>
        <v>3.03</v>
      </c>
      <c r="E56" s="30" t="str">
        <f>VLOOKUP(B56,'PSRC Assumptions'!$A$2:$E$23,4, FALSE)</f>
        <v>PSRC 2017/2019 Regional Travel Study</v>
      </c>
      <c r="W56" s="149"/>
      <c r="X56" s="149"/>
      <c r="Y56" s="149"/>
      <c r="Z56" s="149"/>
      <c r="AA56" s="149"/>
      <c r="AB56" s="149"/>
      <c r="AC56" s="149"/>
      <c r="AD56" s="149"/>
      <c r="AE56" s="149"/>
      <c r="AF56" s="149"/>
    </row>
    <row r="57" spans="1:32" x14ac:dyDescent="0.35">
      <c r="B57" s="81" t="s">
        <v>431</v>
      </c>
      <c r="C57" s="34" t="s">
        <v>432</v>
      </c>
      <c r="D57" s="192">
        <v>1.04</v>
      </c>
      <c r="E57" s="35" t="s">
        <v>433</v>
      </c>
      <c r="W57" s="149"/>
      <c r="X57" s="149"/>
      <c r="Y57" s="149"/>
      <c r="Z57" s="149"/>
      <c r="AA57" s="149"/>
      <c r="AB57" s="149"/>
      <c r="AC57" s="149"/>
      <c r="AD57" s="149"/>
      <c r="AE57" s="149"/>
      <c r="AF57" s="149"/>
    </row>
    <row r="58" spans="1:32" x14ac:dyDescent="0.35">
      <c r="W58" s="149"/>
      <c r="X58" s="149"/>
      <c r="Y58" s="149"/>
      <c r="Z58" s="149"/>
      <c r="AA58" s="149"/>
      <c r="AB58" s="149"/>
      <c r="AC58" s="149"/>
      <c r="AD58" s="149"/>
      <c r="AE58" s="149"/>
      <c r="AF58" s="149"/>
    </row>
    <row r="59" spans="1:32" x14ac:dyDescent="0.35">
      <c r="A59" s="3" t="s">
        <v>31</v>
      </c>
      <c r="W59" s="149"/>
      <c r="X59" s="149"/>
      <c r="Y59" s="149"/>
      <c r="Z59" s="149"/>
      <c r="AA59" s="149"/>
      <c r="AB59" s="149"/>
      <c r="AC59" s="149"/>
      <c r="AD59" s="149"/>
      <c r="AE59" s="149"/>
      <c r="AF59" s="149"/>
    </row>
    <row r="60" spans="1:32" x14ac:dyDescent="0.35">
      <c r="B60" s="4" t="s">
        <v>84</v>
      </c>
      <c r="C60" s="42" t="s">
        <v>151</v>
      </c>
      <c r="D60" s="42" t="s">
        <v>85</v>
      </c>
      <c r="E60" s="43" t="s">
        <v>359</v>
      </c>
    </row>
    <row r="61" spans="1:32" x14ac:dyDescent="0.35">
      <c r="B61" s="5" t="s">
        <v>182</v>
      </c>
      <c r="C61" s="6" t="s">
        <v>386</v>
      </c>
      <c r="D61" s="315">
        <f>'PSRC Assumptions'!$C$6</f>
        <v>3.1E-2</v>
      </c>
      <c r="E61" s="152" t="str">
        <f>CONCATENATE('PSRC Assumptions'!D6,", ",'PSRC Assumptions'!E6)</f>
        <v>WA Department of Licensing via WA Department of Ecology, Percent of heavy trucks out of all vehicles registered in PSRC region</v>
      </c>
    </row>
    <row r="62" spans="1:32" ht="26" x14ac:dyDescent="0.35">
      <c r="B62" s="5" t="s">
        <v>434</v>
      </c>
      <c r="C62" s="6" t="s">
        <v>386</v>
      </c>
      <c r="D62" s="428">
        <f>'PSRC Assumptions'!C$24</f>
        <v>0.39</v>
      </c>
      <c r="E62" s="152" t="str">
        <f>VLOOKUP(B62,'PSRC Assumptions'!$A$2:$E$46,4, FALSE)</f>
        <v>PSRC Regional Travel Model output</v>
      </c>
    </row>
    <row r="63" spans="1:32" x14ac:dyDescent="0.35">
      <c r="B63" s="5" t="s">
        <v>435</v>
      </c>
      <c r="C63" s="6" t="s">
        <v>386</v>
      </c>
      <c r="D63" s="428">
        <f>'PSRC Assumptions'!C$25</f>
        <v>0.55000000000000004</v>
      </c>
      <c r="E63" s="152" t="str">
        <f>VLOOKUP(B63,'PSRC Assumptions'!$A$2:$E$46,4, FALSE)</f>
        <v>PSRC Regional Travel Model output</v>
      </c>
    </row>
    <row r="64" spans="1:32" ht="26" x14ac:dyDescent="0.35">
      <c r="B64" s="5" t="s">
        <v>436</v>
      </c>
      <c r="C64" s="6" t="s">
        <v>386</v>
      </c>
      <c r="D64" s="428">
        <v>0.15</v>
      </c>
      <c r="E64" s="152" t="s">
        <v>437</v>
      </c>
    </row>
    <row r="65" spans="2:5" x14ac:dyDescent="0.35">
      <c r="B65" s="5" t="s">
        <v>186</v>
      </c>
      <c r="C65" s="6" t="s">
        <v>438</v>
      </c>
      <c r="D65" s="429">
        <f>'PSRC Assumptions'!C5</f>
        <v>6</v>
      </c>
      <c r="E65" s="152"/>
    </row>
    <row r="66" spans="2:5" x14ac:dyDescent="0.35">
      <c r="B66" s="5" t="s">
        <v>189</v>
      </c>
      <c r="C66" s="6"/>
      <c r="D66" s="430">
        <f>'PSRC Assumptions'!C42</f>
        <v>0.5</v>
      </c>
      <c r="E66" s="152" t="str">
        <f>VLOOKUP(B66,'PSRC Assumptions'!$A$2:$E$46,4, FALSE)</f>
        <v>PSRC Regional Travel Model assumptions</v>
      </c>
    </row>
    <row r="67" spans="2:5" x14ac:dyDescent="0.35">
      <c r="B67" s="5" t="s">
        <v>439</v>
      </c>
      <c r="C67" s="6" t="s">
        <v>1</v>
      </c>
      <c r="D67" s="311"/>
      <c r="E67" s="152" t="str">
        <f>VLOOKUP(B67,'PSRC Assumptions'!$A$2:$E$46,4, FALSE)</f>
        <v>PSRC Regional Travel Model assumptions</v>
      </c>
    </row>
    <row r="68" spans="2:5" x14ac:dyDescent="0.35">
      <c r="B68" s="431" t="s">
        <v>440</v>
      </c>
      <c r="C68" s="6" t="s">
        <v>441</v>
      </c>
      <c r="D68" s="429">
        <f>'PSRC Assumptions'!C30</f>
        <v>2100</v>
      </c>
      <c r="E68" s="152"/>
    </row>
    <row r="69" spans="2:5" x14ac:dyDescent="0.35">
      <c r="B69" s="431" t="s">
        <v>442</v>
      </c>
      <c r="C69" s="6" t="s">
        <v>441</v>
      </c>
      <c r="D69" s="429">
        <f>'PSRC Assumptions'!C31</f>
        <v>1200</v>
      </c>
      <c r="E69" s="152"/>
    </row>
    <row r="70" spans="2:5" x14ac:dyDescent="0.35">
      <c r="B70" s="431" t="s">
        <v>443</v>
      </c>
      <c r="C70" s="6" t="s">
        <v>441</v>
      </c>
      <c r="D70" s="429">
        <f>'PSRC Assumptions'!C32</f>
        <v>1000</v>
      </c>
      <c r="E70" s="152"/>
    </row>
    <row r="71" spans="2:5" x14ac:dyDescent="0.35">
      <c r="B71" s="431" t="s">
        <v>444</v>
      </c>
      <c r="C71" s="6" t="s">
        <v>441</v>
      </c>
      <c r="D71" s="429">
        <f>'PSRC Assumptions'!C33</f>
        <v>800</v>
      </c>
      <c r="E71" s="152"/>
    </row>
    <row r="72" spans="2:5" x14ac:dyDescent="0.35">
      <c r="B72" s="431" t="s">
        <v>445</v>
      </c>
      <c r="C72" s="6" t="s">
        <v>441</v>
      </c>
      <c r="D72" s="429">
        <f>'PSRC Assumptions'!C34</f>
        <v>600</v>
      </c>
      <c r="E72" s="152"/>
    </row>
    <row r="73" spans="2:5" x14ac:dyDescent="0.35">
      <c r="B73" s="431" t="s">
        <v>446</v>
      </c>
      <c r="C73" s="6" t="s">
        <v>441</v>
      </c>
      <c r="D73" s="429">
        <f>'PSRC Assumptions'!C35</f>
        <v>500</v>
      </c>
      <c r="E73" s="152"/>
    </row>
    <row r="74" spans="2:5" x14ac:dyDescent="0.35">
      <c r="B74" s="431" t="s">
        <v>447</v>
      </c>
      <c r="C74" s="6" t="s">
        <v>441</v>
      </c>
      <c r="D74" s="429">
        <f>'PSRC Assumptions'!C36</f>
        <v>2000</v>
      </c>
      <c r="E74" s="152"/>
    </row>
    <row r="75" spans="2:5" x14ac:dyDescent="0.35">
      <c r="B75" s="431" t="s">
        <v>448</v>
      </c>
      <c r="C75" s="6" t="s">
        <v>441</v>
      </c>
      <c r="D75" s="429">
        <f>'PSRC Assumptions'!C37</f>
        <v>1800</v>
      </c>
      <c r="E75" s="152"/>
    </row>
    <row r="76" spans="2:5" x14ac:dyDescent="0.35">
      <c r="B76" s="431" t="s">
        <v>449</v>
      </c>
      <c r="C76" s="6" t="s">
        <v>441</v>
      </c>
      <c r="D76" s="429">
        <f>'PSRC Assumptions'!C38</f>
        <v>1100</v>
      </c>
      <c r="E76" s="152"/>
    </row>
    <row r="77" spans="2:5" x14ac:dyDescent="0.35">
      <c r="B77" s="431" t="s">
        <v>450</v>
      </c>
      <c r="C77" s="6" t="s">
        <v>441</v>
      </c>
      <c r="D77" s="429">
        <f>'PSRC Assumptions'!C39</f>
        <v>800</v>
      </c>
      <c r="E77" s="152"/>
    </row>
    <row r="78" spans="2:5" x14ac:dyDescent="0.35">
      <c r="B78" s="431" t="s">
        <v>451</v>
      </c>
      <c r="C78" s="6" t="s">
        <v>441</v>
      </c>
      <c r="D78" s="429">
        <f>'PSRC Assumptions'!C40</f>
        <v>700</v>
      </c>
      <c r="E78" s="152"/>
    </row>
    <row r="79" spans="2:5" x14ac:dyDescent="0.35">
      <c r="B79" s="431" t="s">
        <v>452</v>
      </c>
      <c r="C79" s="6" t="s">
        <v>441</v>
      </c>
      <c r="D79" s="429">
        <f>'PSRC Assumptions'!C41</f>
        <v>500</v>
      </c>
      <c r="E79" s="152"/>
    </row>
    <row r="80" spans="2:5" ht="26" x14ac:dyDescent="0.35">
      <c r="B80" s="5" t="s">
        <v>453</v>
      </c>
      <c r="C80" s="6"/>
      <c r="D80" s="311"/>
      <c r="E80" s="152" t="s">
        <v>454</v>
      </c>
    </row>
    <row r="81" spans="1:32" x14ac:dyDescent="0.35">
      <c r="B81" s="431">
        <v>0</v>
      </c>
      <c r="C81" s="6" t="s">
        <v>455</v>
      </c>
      <c r="D81" s="311" t="s">
        <v>456</v>
      </c>
      <c r="E81" s="152" t="s">
        <v>457</v>
      </c>
    </row>
    <row r="82" spans="1:32" x14ac:dyDescent="0.35">
      <c r="B82" s="431">
        <v>0.85</v>
      </c>
      <c r="C82" s="6" t="s">
        <v>455</v>
      </c>
      <c r="D82" s="311" t="s">
        <v>458</v>
      </c>
      <c r="E82" s="152" t="s">
        <v>459</v>
      </c>
    </row>
    <row r="83" spans="1:32" x14ac:dyDescent="0.35">
      <c r="B83" s="431">
        <v>0.9</v>
      </c>
      <c r="C83" s="6" t="s">
        <v>455</v>
      </c>
      <c r="D83" s="311" t="s">
        <v>460</v>
      </c>
      <c r="E83" s="152" t="s">
        <v>461</v>
      </c>
    </row>
    <row r="84" spans="1:32" x14ac:dyDescent="0.35">
      <c r="B84" s="431">
        <v>0.95</v>
      </c>
      <c r="C84" s="6" t="s">
        <v>455</v>
      </c>
      <c r="D84" s="311" t="s">
        <v>462</v>
      </c>
      <c r="E84" s="152" t="s">
        <v>463</v>
      </c>
    </row>
    <row r="85" spans="1:32" x14ac:dyDescent="0.35">
      <c r="B85" s="431">
        <v>0.97499999999999998</v>
      </c>
      <c r="C85" s="6" t="s">
        <v>455</v>
      </c>
      <c r="D85" s="311" t="s">
        <v>464</v>
      </c>
      <c r="E85" s="152" t="s">
        <v>465</v>
      </c>
    </row>
    <row r="86" spans="1:32" x14ac:dyDescent="0.35">
      <c r="B86" s="431">
        <v>1</v>
      </c>
      <c r="C86" s="6" t="s">
        <v>455</v>
      </c>
      <c r="D86" s="311" t="s">
        <v>466</v>
      </c>
      <c r="E86" s="152" t="s">
        <v>467</v>
      </c>
    </row>
    <row r="87" spans="1:32" x14ac:dyDescent="0.35">
      <c r="B87" s="5" t="s">
        <v>468</v>
      </c>
      <c r="C87" s="6"/>
      <c r="D87" s="311"/>
      <c r="E87" s="152"/>
    </row>
    <row r="88" spans="1:32" x14ac:dyDescent="0.35">
      <c r="B88" s="431" t="s">
        <v>456</v>
      </c>
      <c r="C88" s="6" t="s">
        <v>469</v>
      </c>
      <c r="D88" s="430">
        <v>0</v>
      </c>
      <c r="E88" s="152" t="s">
        <v>470</v>
      </c>
    </row>
    <row r="89" spans="1:32" x14ac:dyDescent="0.35">
      <c r="B89" s="431" t="s">
        <v>458</v>
      </c>
      <c r="C89" s="6" t="s">
        <v>469</v>
      </c>
      <c r="D89" s="430">
        <v>15</v>
      </c>
      <c r="E89" s="152" t="s">
        <v>471</v>
      </c>
    </row>
    <row r="90" spans="1:32" x14ac:dyDescent="0.35">
      <c r="B90" s="431" t="s">
        <v>460</v>
      </c>
      <c r="C90" s="6" t="s">
        <v>469</v>
      </c>
      <c r="D90" s="430">
        <f>55/2</f>
        <v>27.5</v>
      </c>
      <c r="E90" s="152" t="s">
        <v>472</v>
      </c>
    </row>
    <row r="91" spans="1:32" x14ac:dyDescent="0.35">
      <c r="B91" s="431" t="s">
        <v>462</v>
      </c>
      <c r="C91" s="6" t="s">
        <v>469</v>
      </c>
      <c r="D91" s="430">
        <v>45</v>
      </c>
      <c r="E91" s="152" t="s">
        <v>473</v>
      </c>
    </row>
    <row r="92" spans="1:32" x14ac:dyDescent="0.35">
      <c r="B92" s="431" t="s">
        <v>464</v>
      </c>
      <c r="C92" s="6" t="s">
        <v>469</v>
      </c>
      <c r="D92" s="430">
        <f>135/2</f>
        <v>67.5</v>
      </c>
      <c r="E92" s="152" t="s">
        <v>474</v>
      </c>
    </row>
    <row r="93" spans="1:32" x14ac:dyDescent="0.35">
      <c r="B93" s="323" t="s">
        <v>466</v>
      </c>
      <c r="C93" s="82" t="s">
        <v>469</v>
      </c>
      <c r="D93" s="432">
        <v>80</v>
      </c>
      <c r="E93" s="83" t="s">
        <v>475</v>
      </c>
    </row>
    <row r="94" spans="1:32" x14ac:dyDescent="0.35">
      <c r="B94" s="106"/>
      <c r="C94" s="101"/>
      <c r="D94" s="198"/>
      <c r="E94" s="199"/>
    </row>
    <row r="95" spans="1:32" x14ac:dyDescent="0.35">
      <c r="A95" s="3" t="s">
        <v>34</v>
      </c>
      <c r="T95" s="2"/>
      <c r="W95" s="149"/>
      <c r="X95" s="149"/>
      <c r="Y95" s="149"/>
      <c r="Z95" s="149"/>
      <c r="AA95" s="149"/>
      <c r="AB95" s="149"/>
      <c r="AC95" s="149"/>
      <c r="AD95" s="149"/>
      <c r="AE95" s="149"/>
      <c r="AF95" s="149"/>
    </row>
    <row r="96" spans="1:32" x14ac:dyDescent="0.35">
      <c r="B96" s="4" t="s">
        <v>84</v>
      </c>
      <c r="C96" s="42" t="s">
        <v>151</v>
      </c>
      <c r="D96" s="42" t="s">
        <v>85</v>
      </c>
      <c r="E96" s="43" t="s">
        <v>359</v>
      </c>
      <c r="T96" s="2"/>
      <c r="W96" s="149"/>
      <c r="X96" s="149"/>
      <c r="Y96" s="149"/>
      <c r="Z96" s="149"/>
      <c r="AA96" s="149"/>
      <c r="AB96" s="149"/>
      <c r="AC96" s="149"/>
      <c r="AD96" s="149"/>
      <c r="AE96" s="149"/>
      <c r="AF96" s="149"/>
    </row>
    <row r="97" spans="1:32" ht="26" x14ac:dyDescent="0.35">
      <c r="B97" s="5" t="s">
        <v>434</v>
      </c>
      <c r="C97" s="6" t="s">
        <v>386</v>
      </c>
      <c r="D97" s="428">
        <f>'PSRC Assumptions'!C$24</f>
        <v>0.39</v>
      </c>
      <c r="E97" s="152" t="str">
        <f>VLOOKUP(B97,'PSRC Assumptions'!$A$2:$E$46,4, FALSE)</f>
        <v>PSRC Regional Travel Model output</v>
      </c>
      <c r="M97" s="2"/>
      <c r="W97" s="149"/>
      <c r="X97" s="149"/>
      <c r="Y97" s="149"/>
      <c r="Z97" s="149"/>
      <c r="AA97" s="149"/>
      <c r="AB97" s="149"/>
      <c r="AC97" s="149"/>
      <c r="AD97" s="149"/>
      <c r="AE97" s="149"/>
      <c r="AF97" s="149"/>
    </row>
    <row r="98" spans="1:32" x14ac:dyDescent="0.35">
      <c r="B98" s="5" t="s">
        <v>435</v>
      </c>
      <c r="C98" s="6" t="s">
        <v>386</v>
      </c>
      <c r="D98" s="428">
        <f>'PSRC Assumptions'!C$25</f>
        <v>0.55000000000000004</v>
      </c>
      <c r="E98" s="152" t="str">
        <f>VLOOKUP(B98,'PSRC Assumptions'!$A$2:$E$46,4, FALSE)</f>
        <v>PSRC Regional Travel Model output</v>
      </c>
      <c r="T98" s="2"/>
      <c r="W98" s="149"/>
      <c r="X98" s="149"/>
      <c r="Y98" s="149"/>
      <c r="Z98" s="149"/>
      <c r="AA98" s="149"/>
      <c r="AB98" s="149"/>
      <c r="AC98" s="149"/>
      <c r="AD98" s="149"/>
      <c r="AE98" s="149"/>
      <c r="AF98" s="149"/>
    </row>
    <row r="99" spans="1:32" x14ac:dyDescent="0.35">
      <c r="B99" s="81" t="s">
        <v>476</v>
      </c>
      <c r="C99" s="82" t="s">
        <v>386</v>
      </c>
      <c r="D99" s="342">
        <f>'PSRC Assumptions'!$C$6</f>
        <v>3.1E-2</v>
      </c>
      <c r="E99" s="83" t="str">
        <f>VLOOKUP(B99,'PSRC Assumptions'!$A$2:$E$23,4, FALSE)</f>
        <v>WA Department of Licensing via WA Department of Ecology</v>
      </c>
      <c r="T99" s="2"/>
      <c r="W99" s="149"/>
      <c r="X99" s="149"/>
      <c r="Y99" s="149"/>
      <c r="Z99" s="149"/>
      <c r="AA99" s="149"/>
      <c r="AB99" s="149"/>
      <c r="AC99" s="149"/>
      <c r="AD99" s="149"/>
      <c r="AE99" s="149"/>
      <c r="AF99" s="149"/>
    </row>
    <row r="100" spans="1:32" x14ac:dyDescent="0.35">
      <c r="B100" s="5" t="s">
        <v>477</v>
      </c>
      <c r="C100" s="6"/>
      <c r="D100" s="428"/>
      <c r="E100" s="152" t="s">
        <v>478</v>
      </c>
      <c r="T100" s="2"/>
      <c r="W100" s="149"/>
      <c r="X100" s="149"/>
      <c r="Y100" s="149"/>
      <c r="Z100" s="149"/>
      <c r="AA100" s="149"/>
      <c r="AB100" s="149"/>
      <c r="AC100" s="149"/>
      <c r="AD100" s="149"/>
      <c r="AE100" s="149"/>
      <c r="AF100" s="149"/>
    </row>
    <row r="101" spans="1:32" x14ac:dyDescent="0.35">
      <c r="B101" s="5" t="s">
        <v>479</v>
      </c>
      <c r="C101" s="6" t="s">
        <v>480</v>
      </c>
      <c r="D101" s="428">
        <v>1</v>
      </c>
      <c r="E101" s="152" t="s">
        <v>478</v>
      </c>
    </row>
    <row r="102" spans="1:32" x14ac:dyDescent="0.35">
      <c r="B102" s="5" t="s">
        <v>481</v>
      </c>
      <c r="C102" s="6" t="s">
        <v>480</v>
      </c>
      <c r="D102" s="428">
        <v>0.75</v>
      </c>
      <c r="E102" s="152" t="s">
        <v>478</v>
      </c>
    </row>
    <row r="103" spans="1:32" x14ac:dyDescent="0.35">
      <c r="B103" s="5" t="s">
        <v>482</v>
      </c>
      <c r="C103" s="6" t="s">
        <v>480</v>
      </c>
      <c r="D103" s="428">
        <v>0.75</v>
      </c>
      <c r="E103" s="152" t="s">
        <v>478</v>
      </c>
    </row>
    <row r="104" spans="1:32" x14ac:dyDescent="0.35">
      <c r="B104" s="5" t="s">
        <v>483</v>
      </c>
      <c r="C104" s="6" t="s">
        <v>480</v>
      </c>
      <c r="D104" s="428">
        <v>0</v>
      </c>
      <c r="E104" s="152"/>
    </row>
    <row r="105" spans="1:32" x14ac:dyDescent="0.35">
      <c r="B105" s="5" t="s">
        <v>484</v>
      </c>
      <c r="C105" s="6" t="s">
        <v>480</v>
      </c>
      <c r="D105" s="428">
        <v>0</v>
      </c>
      <c r="E105" s="152"/>
    </row>
    <row r="106" spans="1:32" x14ac:dyDescent="0.35">
      <c r="B106" s="5" t="s">
        <v>485</v>
      </c>
      <c r="C106" s="6" t="s">
        <v>480</v>
      </c>
      <c r="D106" s="428">
        <v>0</v>
      </c>
      <c r="E106" s="152"/>
    </row>
    <row r="107" spans="1:32" x14ac:dyDescent="0.35">
      <c r="B107" s="5" t="s">
        <v>486</v>
      </c>
      <c r="C107" s="6" t="s">
        <v>480</v>
      </c>
      <c r="D107" s="428">
        <v>0</v>
      </c>
      <c r="E107" s="152"/>
    </row>
    <row r="108" spans="1:32" x14ac:dyDescent="0.35">
      <c r="B108" s="106"/>
      <c r="C108" s="106"/>
      <c r="D108" s="197"/>
      <c r="E108" s="106"/>
    </row>
    <row r="109" spans="1:32" x14ac:dyDescent="0.35">
      <c r="A109" s="3" t="s">
        <v>487</v>
      </c>
    </row>
    <row r="110" spans="1:32" x14ac:dyDescent="0.35">
      <c r="B110" s="4" t="s">
        <v>84</v>
      </c>
      <c r="C110" s="42" t="s">
        <v>151</v>
      </c>
      <c r="D110" s="42" t="s">
        <v>85</v>
      </c>
      <c r="E110" s="43" t="s">
        <v>359</v>
      </c>
    </row>
    <row r="111" spans="1:32" x14ac:dyDescent="0.35">
      <c r="B111" s="5" t="s">
        <v>488</v>
      </c>
      <c r="C111" s="6" t="s">
        <v>385</v>
      </c>
      <c r="D111" s="314">
        <f>'PSRC Assumptions'!$C$22</f>
        <v>11.5</v>
      </c>
      <c r="E111" s="313" t="str">
        <f>VLOOKUP(B111,'PSRC Assumptions'!$A$2:$E$23,4, FALSE)</f>
        <v>PSRC 2017/2019 Regional Travel Study</v>
      </c>
    </row>
    <row r="112" spans="1:32" x14ac:dyDescent="0.35">
      <c r="B112" s="5" t="s">
        <v>384</v>
      </c>
      <c r="C112" s="6" t="s">
        <v>489</v>
      </c>
      <c r="D112" s="316">
        <f>'PSRC Assumptions'!$C$3</f>
        <v>7.47</v>
      </c>
      <c r="E112" s="313" t="str">
        <f>VLOOKUP(B112,'PSRC Assumptions'!$A$2:$E$23,4, FALSE)</f>
        <v>PSRC 2017/2019 Regional Travel Study</v>
      </c>
    </row>
    <row r="113" spans="1:5" x14ac:dyDescent="0.35">
      <c r="B113" s="5" t="s">
        <v>388</v>
      </c>
      <c r="C113" s="6" t="s">
        <v>389</v>
      </c>
      <c r="D113" s="317">
        <f>'PSRC Assumptions'!$C$4</f>
        <v>1.32</v>
      </c>
      <c r="E113" s="313" t="str">
        <f>VLOOKUP(B113,'PSRC Assumptions'!$A$2:$E$23,4, FALSE)</f>
        <v>PSRC 2017/2019 Regional Travel Study</v>
      </c>
    </row>
    <row r="114" spans="1:5" x14ac:dyDescent="0.35">
      <c r="B114" s="5" t="s">
        <v>490</v>
      </c>
      <c r="C114" s="6" t="s">
        <v>491</v>
      </c>
      <c r="D114" s="317">
        <v>6.52</v>
      </c>
      <c r="E114" s="313" t="str">
        <f>VLOOKUP(B114,'PSRC Assumptions'!$A$2:$E$23,4, FALSE)</f>
        <v>2022 Statistics from the WSDOT Mobility Dashboard (https://wsdot.wa.gov/about/data/multimodal-mobility-dashboard/dashboard/publictransportation/Vanpools.htm)</v>
      </c>
    </row>
    <row r="115" spans="1:5" ht="39" x14ac:dyDescent="0.35">
      <c r="B115" s="5" t="s">
        <v>492</v>
      </c>
      <c r="C115" s="6" t="s">
        <v>386</v>
      </c>
      <c r="D115" s="420">
        <f>'PSRC Assumptions'!C28</f>
        <v>0.03</v>
      </c>
      <c r="E115" s="419" t="s">
        <v>493</v>
      </c>
    </row>
    <row r="116" spans="1:5" ht="26" x14ac:dyDescent="0.35">
      <c r="B116" s="81" t="s">
        <v>158</v>
      </c>
      <c r="C116" s="11" t="s">
        <v>428</v>
      </c>
      <c r="D116" s="318">
        <v>2</v>
      </c>
      <c r="E116" s="151" t="s">
        <v>429</v>
      </c>
    </row>
    <row r="118" spans="1:5" x14ac:dyDescent="0.35">
      <c r="A118" s="3" t="s">
        <v>494</v>
      </c>
    </row>
    <row r="119" spans="1:5" x14ac:dyDescent="0.35">
      <c r="B119" s="4" t="s">
        <v>84</v>
      </c>
      <c r="C119" s="42" t="s">
        <v>151</v>
      </c>
      <c r="D119" s="42" t="s">
        <v>85</v>
      </c>
      <c r="E119" s="43" t="s">
        <v>359</v>
      </c>
    </row>
    <row r="120" spans="1:5" ht="26" x14ac:dyDescent="0.35">
      <c r="B120" s="5" t="str">
        <f>'PSRC Assumptions'!A24</f>
        <v>Percentage of daily vehicle trips that occur during peak periods</v>
      </c>
      <c r="C120" s="6" t="str">
        <f>'PSRC Assumptions'!B24</f>
        <v>%</v>
      </c>
      <c r="D120" s="314">
        <f>'PSRC Assumptions'!C24</f>
        <v>0.39</v>
      </c>
      <c r="E120" s="313" t="str">
        <f>VLOOKUP(B120,'PSRC Assumptions'!$A$2:$E$47,4, FALSE)</f>
        <v>PSRC Regional Travel Model output</v>
      </c>
    </row>
    <row r="121" spans="1:5" x14ac:dyDescent="0.35">
      <c r="B121" s="5" t="s">
        <v>495</v>
      </c>
      <c r="C121" s="6" t="str">
        <f>'PSRC Assumptions'!B27</f>
        <v>travel days/yr</v>
      </c>
      <c r="D121" s="316">
        <f>'PSRC Assumptions'!C27</f>
        <v>250</v>
      </c>
      <c r="E121" s="313" t="str">
        <f>'PSRC Assumptions'!D27</f>
        <v>PSRC assumption</v>
      </c>
    </row>
    <row r="122" spans="1:5" x14ac:dyDescent="0.35">
      <c r="B122" s="5" t="s">
        <v>496</v>
      </c>
      <c r="C122" s="6" t="s">
        <v>497</v>
      </c>
      <c r="D122" s="316">
        <v>907.18600000000004</v>
      </c>
      <c r="E122" s="313"/>
    </row>
    <row r="123" spans="1:5" x14ac:dyDescent="0.35">
      <c r="B123" s="81" t="s">
        <v>498</v>
      </c>
      <c r="C123" s="11" t="s">
        <v>499</v>
      </c>
      <c r="D123" s="413">
        <v>2.2046199999999998</v>
      </c>
      <c r="E123" s="343"/>
    </row>
  </sheetData>
  <sheetProtection algorithmName="SHA-512" hashValue="Eis+fu0WpYkZIB2r+t6OrbuoPnJ57n+zYZFjtAqT5xeiBsyVOX/CodE5x3rWkcQVJGjr1ErwspxOrPTyTZRD+g==" saltValue="mCFKBU27YSmwhIiXT5cUiA==" spinCount="100000" sheet="1" objects="1" scenarios="1"/>
  <autoFilter ref="AE2:AE42" xr:uid="{00000000-0009-0000-0000-000010000000}">
    <sortState xmlns:xlrd2="http://schemas.microsoft.com/office/spreadsheetml/2017/richdata2" ref="AE3:AE28">
      <sortCondition ref="AE2:AE28"/>
    </sortState>
  </autoFilter>
  <mergeCells count="2">
    <mergeCell ref="E18:E20"/>
    <mergeCell ref="E36:E38"/>
  </mergeCells>
  <pageMargins left="0.7" right="0.7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/>
  <dimension ref="A1:K46"/>
  <sheetViews>
    <sheetView zoomScaleNormal="100" zoomScalePageLayoutView="90" workbookViewId="0">
      <pane ySplit="1" topLeftCell="A2" activePane="bottomLeft" state="frozen"/>
      <selection pane="bottomLeft" activeCell="C28" sqref="C28"/>
    </sheetView>
  </sheetViews>
  <sheetFormatPr defaultColWidth="8.7265625" defaultRowHeight="14.5" x14ac:dyDescent="0.35"/>
  <cols>
    <col min="1" max="1" width="50.26953125" style="173" customWidth="1"/>
    <col min="2" max="2" width="16" style="173" customWidth="1"/>
    <col min="3" max="3" width="12.453125" style="173" customWidth="1"/>
    <col min="4" max="4" width="47.7265625" style="173" customWidth="1"/>
    <col min="5" max="5" width="66" style="173" customWidth="1"/>
    <col min="6" max="16384" width="8.7265625" style="1"/>
  </cols>
  <sheetData>
    <row r="1" spans="1:5" x14ac:dyDescent="0.35">
      <c r="A1" s="4" t="s">
        <v>84</v>
      </c>
      <c r="B1" s="42" t="s">
        <v>151</v>
      </c>
      <c r="C1" s="42" t="s">
        <v>85</v>
      </c>
      <c r="D1" s="43" t="s">
        <v>359</v>
      </c>
      <c r="E1" s="43" t="s">
        <v>500</v>
      </c>
    </row>
    <row r="2" spans="1:5" ht="26" x14ac:dyDescent="0.35">
      <c r="A2" s="172" t="s">
        <v>384</v>
      </c>
      <c r="B2" s="24" t="s">
        <v>489</v>
      </c>
      <c r="C2" s="207">
        <v>7.55</v>
      </c>
      <c r="D2" s="176" t="s">
        <v>501</v>
      </c>
      <c r="E2" s="176" t="s">
        <v>502</v>
      </c>
    </row>
    <row r="3" spans="1:5" x14ac:dyDescent="0.35">
      <c r="A3" s="204" t="s">
        <v>503</v>
      </c>
      <c r="B3" s="39" t="s">
        <v>489</v>
      </c>
      <c r="C3" s="230">
        <v>7.47</v>
      </c>
      <c r="D3" s="176" t="s">
        <v>501</v>
      </c>
      <c r="E3" s="176" t="s">
        <v>504</v>
      </c>
    </row>
    <row r="4" spans="1:5" x14ac:dyDescent="0.35">
      <c r="A4" s="174" t="s">
        <v>388</v>
      </c>
      <c r="B4" s="26" t="s">
        <v>505</v>
      </c>
      <c r="C4" s="206">
        <v>1.32</v>
      </c>
      <c r="D4" s="176" t="s">
        <v>501</v>
      </c>
      <c r="E4" s="205" t="s">
        <v>506</v>
      </c>
    </row>
    <row r="5" spans="1:5" ht="15" customHeight="1" x14ac:dyDescent="0.35">
      <c r="A5" s="174" t="s">
        <v>507</v>
      </c>
      <c r="B5" s="26" t="s">
        <v>508</v>
      </c>
      <c r="C5" s="28">
        <v>6</v>
      </c>
      <c r="D5" s="176" t="s">
        <v>501</v>
      </c>
      <c r="E5" s="176" t="s">
        <v>509</v>
      </c>
    </row>
    <row r="6" spans="1:5" x14ac:dyDescent="0.35">
      <c r="A6" s="177" t="s">
        <v>476</v>
      </c>
      <c r="B6" s="6" t="s">
        <v>386</v>
      </c>
      <c r="C6" s="212">
        <v>3.1E-2</v>
      </c>
      <c r="D6" s="176" t="s">
        <v>510</v>
      </c>
      <c r="E6" s="176" t="s">
        <v>511</v>
      </c>
    </row>
    <row r="7" spans="1:5" ht="14.25" customHeight="1" x14ac:dyDescent="0.35">
      <c r="A7" s="245" t="s">
        <v>512</v>
      </c>
      <c r="B7" s="8" t="s">
        <v>513</v>
      </c>
      <c r="C7" s="246">
        <v>0.92700000000000005</v>
      </c>
      <c r="D7" s="247" t="s">
        <v>510</v>
      </c>
      <c r="E7" s="247" t="s">
        <v>511</v>
      </c>
    </row>
    <row r="8" spans="1:5" ht="15.75" customHeight="1" x14ac:dyDescent="0.35">
      <c r="A8" s="245"/>
      <c r="B8" s="8" t="s">
        <v>514</v>
      </c>
      <c r="C8" s="246">
        <v>3.5999999999999997E-2</v>
      </c>
      <c r="D8" s="248" t="s">
        <v>510</v>
      </c>
      <c r="E8" s="248" t="s">
        <v>511</v>
      </c>
    </row>
    <row r="9" spans="1:5" x14ac:dyDescent="0.35">
      <c r="A9" s="175" t="s">
        <v>411</v>
      </c>
      <c r="B9" s="176" t="s">
        <v>386</v>
      </c>
      <c r="C9" s="209">
        <v>0.01</v>
      </c>
      <c r="D9" s="176" t="s">
        <v>501</v>
      </c>
      <c r="E9" s="176" t="s">
        <v>515</v>
      </c>
    </row>
    <row r="10" spans="1:5" x14ac:dyDescent="0.35">
      <c r="A10" s="175" t="s">
        <v>412</v>
      </c>
      <c r="B10" s="176" t="s">
        <v>386</v>
      </c>
      <c r="C10" s="209">
        <v>4.4999999999999998E-2</v>
      </c>
      <c r="D10" s="176" t="s">
        <v>501</v>
      </c>
      <c r="E10" s="176" t="s">
        <v>515</v>
      </c>
    </row>
    <row r="11" spans="1:5" x14ac:dyDescent="0.35">
      <c r="A11" s="175" t="s">
        <v>516</v>
      </c>
      <c r="B11" s="176" t="s">
        <v>386</v>
      </c>
      <c r="C11" s="209">
        <v>8.9999999999999993E-3</v>
      </c>
      <c r="D11" s="176" t="s">
        <v>501</v>
      </c>
      <c r="E11" s="176" t="s">
        <v>517</v>
      </c>
    </row>
    <row r="12" spans="1:5" x14ac:dyDescent="0.35">
      <c r="A12" s="175" t="s">
        <v>518</v>
      </c>
      <c r="B12" s="176" t="s">
        <v>386</v>
      </c>
      <c r="C12" s="208">
        <v>0.11600000000000001</v>
      </c>
      <c r="D12" s="176" t="s">
        <v>501</v>
      </c>
      <c r="E12" s="176" t="s">
        <v>517</v>
      </c>
    </row>
    <row r="13" spans="1:5" ht="39" x14ac:dyDescent="0.35">
      <c r="A13" s="175" t="s">
        <v>413</v>
      </c>
      <c r="B13" s="176" t="s">
        <v>386</v>
      </c>
      <c r="C13" s="153">
        <v>0.51514683371343495</v>
      </c>
      <c r="D13" s="176" t="s">
        <v>501</v>
      </c>
      <c r="E13" s="176" t="s">
        <v>519</v>
      </c>
    </row>
    <row r="14" spans="1:5" ht="65" x14ac:dyDescent="0.35">
      <c r="A14" s="175" t="s">
        <v>520</v>
      </c>
      <c r="B14" s="176" t="s">
        <v>386</v>
      </c>
      <c r="C14" s="208">
        <v>0.08</v>
      </c>
      <c r="D14" s="176" t="s">
        <v>521</v>
      </c>
      <c r="E14" s="176" t="s">
        <v>522</v>
      </c>
    </row>
    <row r="15" spans="1:5" ht="65" x14ac:dyDescent="0.35">
      <c r="A15" s="175" t="s">
        <v>523</v>
      </c>
      <c r="B15" s="176" t="s">
        <v>386</v>
      </c>
      <c r="C15" s="208">
        <v>0.08</v>
      </c>
      <c r="D15" s="176" t="s">
        <v>521</v>
      </c>
      <c r="E15" s="176" t="s">
        <v>522</v>
      </c>
    </row>
    <row r="16" spans="1:5" x14ac:dyDescent="0.35">
      <c r="A16" s="175" t="s">
        <v>427</v>
      </c>
      <c r="B16" s="176" t="s">
        <v>489</v>
      </c>
      <c r="C16" s="211">
        <v>2.96</v>
      </c>
      <c r="D16" s="176" t="s">
        <v>501</v>
      </c>
      <c r="E16" s="176" t="s">
        <v>524</v>
      </c>
    </row>
    <row r="17" spans="1:5" x14ac:dyDescent="0.35">
      <c r="A17" s="175" t="s">
        <v>426</v>
      </c>
      <c r="B17" s="176" t="s">
        <v>489</v>
      </c>
      <c r="C17" s="211">
        <v>0.59</v>
      </c>
      <c r="D17" s="176" t="s">
        <v>501</v>
      </c>
      <c r="E17" s="176" t="s">
        <v>524</v>
      </c>
    </row>
    <row r="18" spans="1:5" x14ac:dyDescent="0.35">
      <c r="A18" s="175" t="s">
        <v>159</v>
      </c>
      <c r="B18" s="176" t="s">
        <v>1</v>
      </c>
      <c r="C18" s="210">
        <v>3.03</v>
      </c>
      <c r="D18" s="176" t="s">
        <v>501</v>
      </c>
      <c r="E18" s="176"/>
    </row>
    <row r="19" spans="1:5" ht="39" x14ac:dyDescent="0.35">
      <c r="A19" s="175" t="s">
        <v>425</v>
      </c>
      <c r="B19" s="176" t="s">
        <v>386</v>
      </c>
      <c r="C19" s="208">
        <v>4.6540043298623303E-2</v>
      </c>
      <c r="D19" s="176" t="s">
        <v>525</v>
      </c>
      <c r="E19" s="176" t="s">
        <v>526</v>
      </c>
    </row>
    <row r="20" spans="1:5" x14ac:dyDescent="0.35">
      <c r="A20" s="175" t="s">
        <v>527</v>
      </c>
      <c r="B20" s="176" t="s">
        <v>386</v>
      </c>
      <c r="C20" s="231">
        <v>0.22900000000000001</v>
      </c>
      <c r="D20" s="176" t="s">
        <v>501</v>
      </c>
      <c r="E20" s="213" t="s">
        <v>528</v>
      </c>
    </row>
    <row r="21" spans="1:5" x14ac:dyDescent="0.35">
      <c r="A21" s="175" t="s">
        <v>529</v>
      </c>
      <c r="B21" s="176"/>
      <c r="C21" s="208">
        <v>0.159</v>
      </c>
      <c r="D21" s="176" t="s">
        <v>501</v>
      </c>
      <c r="E21" s="176" t="s">
        <v>528</v>
      </c>
    </row>
    <row r="22" spans="1:5" x14ac:dyDescent="0.35">
      <c r="A22" s="175" t="s">
        <v>488</v>
      </c>
      <c r="B22" s="24" t="s">
        <v>489</v>
      </c>
      <c r="C22" s="267">
        <v>11.5</v>
      </c>
      <c r="D22" s="176" t="s">
        <v>501</v>
      </c>
      <c r="E22" s="214" t="s">
        <v>530</v>
      </c>
    </row>
    <row r="23" spans="1:5" ht="39" x14ac:dyDescent="0.35">
      <c r="A23" s="172" t="s">
        <v>490</v>
      </c>
      <c r="B23" s="24" t="s">
        <v>531</v>
      </c>
      <c r="C23" s="216">
        <v>6.52</v>
      </c>
      <c r="D23" s="215" t="s">
        <v>532</v>
      </c>
      <c r="E23" s="215" t="s">
        <v>533</v>
      </c>
    </row>
    <row r="24" spans="1:5" x14ac:dyDescent="0.35">
      <c r="A24" s="172" t="s">
        <v>434</v>
      </c>
      <c r="B24" s="24" t="s">
        <v>386</v>
      </c>
      <c r="C24" s="334">
        <v>0.39</v>
      </c>
      <c r="D24" s="215" t="s">
        <v>534</v>
      </c>
      <c r="E24" s="215"/>
    </row>
    <row r="25" spans="1:5" x14ac:dyDescent="0.35">
      <c r="A25" s="172" t="s">
        <v>435</v>
      </c>
      <c r="B25" s="24" t="s">
        <v>386</v>
      </c>
      <c r="C25" s="334">
        <v>0.55000000000000004</v>
      </c>
      <c r="D25" s="215" t="s">
        <v>534</v>
      </c>
      <c r="E25" s="215"/>
    </row>
    <row r="26" spans="1:5" ht="26" x14ac:dyDescent="0.35">
      <c r="A26" s="172" t="s">
        <v>405</v>
      </c>
      <c r="B26" s="24" t="s">
        <v>386</v>
      </c>
      <c r="C26" s="334">
        <v>0.5</v>
      </c>
      <c r="D26" s="215" t="s">
        <v>535</v>
      </c>
      <c r="E26" s="215"/>
    </row>
    <row r="27" spans="1:5" x14ac:dyDescent="0.35">
      <c r="A27" s="215" t="s">
        <v>495</v>
      </c>
      <c r="B27" s="215" t="s">
        <v>536</v>
      </c>
      <c r="C27" s="215">
        <v>250</v>
      </c>
      <c r="D27" s="215" t="s">
        <v>537</v>
      </c>
      <c r="E27" s="215"/>
    </row>
    <row r="28" spans="1:5" ht="26" x14ac:dyDescent="0.35">
      <c r="A28" s="215" t="s">
        <v>492</v>
      </c>
      <c r="B28" s="215" t="s">
        <v>386</v>
      </c>
      <c r="C28" s="334">
        <v>0.03</v>
      </c>
      <c r="D28" s="215" t="s">
        <v>493</v>
      </c>
      <c r="E28" s="215"/>
    </row>
    <row r="29" spans="1:5" x14ac:dyDescent="0.35">
      <c r="A29" s="172" t="s">
        <v>439</v>
      </c>
      <c r="B29" s="24" t="s">
        <v>1</v>
      </c>
      <c r="C29" s="334"/>
      <c r="D29" s="215" t="s">
        <v>538</v>
      </c>
      <c r="E29" s="215"/>
    </row>
    <row r="30" spans="1:5" x14ac:dyDescent="0.35">
      <c r="A30" s="426" t="s">
        <v>440</v>
      </c>
      <c r="B30" s="24" t="s">
        <v>441</v>
      </c>
      <c r="C30" s="427">
        <v>2100</v>
      </c>
      <c r="D30" s="215"/>
      <c r="E30" s="215"/>
    </row>
    <row r="31" spans="1:5" x14ac:dyDescent="0.35">
      <c r="A31" s="426" t="s">
        <v>442</v>
      </c>
      <c r="B31" s="24" t="s">
        <v>441</v>
      </c>
      <c r="C31" s="427">
        <v>1200</v>
      </c>
      <c r="D31" s="215"/>
      <c r="E31" s="215"/>
    </row>
    <row r="32" spans="1:5" x14ac:dyDescent="0.35">
      <c r="A32" s="426" t="s">
        <v>443</v>
      </c>
      <c r="B32" s="24" t="s">
        <v>441</v>
      </c>
      <c r="C32" s="427">
        <v>1000</v>
      </c>
      <c r="D32" s="215"/>
      <c r="E32" s="215"/>
    </row>
    <row r="33" spans="1:11" x14ac:dyDescent="0.35">
      <c r="A33" s="426" t="s">
        <v>444</v>
      </c>
      <c r="B33" s="24" t="s">
        <v>441</v>
      </c>
      <c r="C33" s="427">
        <v>800</v>
      </c>
      <c r="D33" s="215"/>
      <c r="E33" s="215"/>
    </row>
    <row r="34" spans="1:11" x14ac:dyDescent="0.35">
      <c r="A34" s="426" t="s">
        <v>445</v>
      </c>
      <c r="B34" s="24" t="s">
        <v>441</v>
      </c>
      <c r="C34" s="427">
        <v>600</v>
      </c>
      <c r="D34" s="215"/>
      <c r="E34" s="215"/>
    </row>
    <row r="35" spans="1:11" x14ac:dyDescent="0.35">
      <c r="A35" s="426" t="s">
        <v>446</v>
      </c>
      <c r="B35" s="24" t="s">
        <v>441</v>
      </c>
      <c r="C35" s="427">
        <v>500</v>
      </c>
      <c r="D35" s="215"/>
      <c r="E35" s="215"/>
    </row>
    <row r="36" spans="1:11" x14ac:dyDescent="0.35">
      <c r="A36" s="426" t="s">
        <v>447</v>
      </c>
      <c r="B36" s="24" t="s">
        <v>441</v>
      </c>
      <c r="C36" s="427">
        <v>2000</v>
      </c>
      <c r="D36" s="215"/>
      <c r="E36" s="215"/>
    </row>
    <row r="37" spans="1:11" x14ac:dyDescent="0.35">
      <c r="A37" s="426" t="s">
        <v>448</v>
      </c>
      <c r="B37" s="24" t="s">
        <v>441</v>
      </c>
      <c r="C37" s="427">
        <v>1800</v>
      </c>
      <c r="D37" s="215"/>
      <c r="E37" s="215"/>
    </row>
    <row r="38" spans="1:11" x14ac:dyDescent="0.35">
      <c r="A38" s="426" t="s">
        <v>449</v>
      </c>
      <c r="B38" s="24" t="s">
        <v>441</v>
      </c>
      <c r="C38" s="427">
        <v>1100</v>
      </c>
      <c r="D38" s="215"/>
      <c r="E38" s="215"/>
    </row>
    <row r="39" spans="1:11" x14ac:dyDescent="0.35">
      <c r="A39" s="426" t="s">
        <v>450</v>
      </c>
      <c r="B39" s="24" t="s">
        <v>441</v>
      </c>
      <c r="C39" s="427">
        <v>800</v>
      </c>
      <c r="D39" s="215"/>
      <c r="E39" s="215"/>
    </row>
    <row r="40" spans="1:11" x14ac:dyDescent="0.35">
      <c r="A40" s="426" t="s">
        <v>451</v>
      </c>
      <c r="B40" s="24" t="s">
        <v>441</v>
      </c>
      <c r="C40" s="427">
        <v>700</v>
      </c>
      <c r="D40" s="215"/>
      <c r="E40" s="215"/>
    </row>
    <row r="41" spans="1:11" x14ac:dyDescent="0.35">
      <c r="A41" s="426" t="s">
        <v>452</v>
      </c>
      <c r="B41" s="24" t="s">
        <v>441</v>
      </c>
      <c r="C41" s="427">
        <v>500</v>
      </c>
      <c r="D41" s="215"/>
      <c r="E41" s="215"/>
    </row>
    <row r="42" spans="1:11" x14ac:dyDescent="0.35">
      <c r="A42" s="499" t="s">
        <v>189</v>
      </c>
      <c r="B42" s="499"/>
      <c r="C42" s="500">
        <v>0.5</v>
      </c>
      <c r="D42" s="499" t="s">
        <v>538</v>
      </c>
      <c r="E42" s="499"/>
    </row>
    <row r="43" spans="1:11" ht="28.5" customHeight="1" x14ac:dyDescent="0.35">
      <c r="A43" s="172" t="s">
        <v>422</v>
      </c>
      <c r="B43" s="24"/>
      <c r="C43" s="427"/>
      <c r="D43" s="215" t="s">
        <v>501</v>
      </c>
      <c r="E43" s="215"/>
      <c r="F43" s="498"/>
      <c r="G43" s="101"/>
      <c r="H43" s="101"/>
      <c r="I43" s="101"/>
      <c r="J43" s="101"/>
    </row>
    <row r="44" spans="1:11" ht="15.75" customHeight="1" x14ac:dyDescent="0.35">
      <c r="A44" s="426" t="s">
        <v>423</v>
      </c>
      <c r="B44" s="24" t="s">
        <v>386</v>
      </c>
      <c r="C44" s="501">
        <v>0.11799999999999999</v>
      </c>
      <c r="D44" s="215" t="s">
        <v>501</v>
      </c>
      <c r="E44" s="215"/>
      <c r="F44" s="498"/>
      <c r="G44" s="173"/>
      <c r="H44" s="101"/>
      <c r="I44" s="101"/>
      <c r="J44" s="101"/>
    </row>
    <row r="45" spans="1:11" x14ac:dyDescent="0.35">
      <c r="A45" s="426" t="s">
        <v>424</v>
      </c>
      <c r="B45" s="24" t="s">
        <v>386</v>
      </c>
      <c r="C45" s="501">
        <v>9.9000000000000005E-2</v>
      </c>
      <c r="D45" s="215" t="s">
        <v>501</v>
      </c>
      <c r="E45" s="215"/>
      <c r="F45" s="498"/>
      <c r="G45" s="173"/>
      <c r="H45" s="101"/>
      <c r="I45" s="101"/>
      <c r="J45" s="101"/>
      <c r="K45" s="101"/>
    </row>
    <row r="46" spans="1:11" x14ac:dyDescent="0.35">
      <c r="A46" s="268" t="s">
        <v>539</v>
      </c>
    </row>
  </sheetData>
  <sheetProtection algorithmName="SHA-512" hashValue="WAUiCAyEH8nevzjHEs86H9Eec/k2z8LvVW4etPlw26T+nBK0EqX/8vo7VR+lEtkAH+9BsJ/rXCIoFocQxyoL2A==" saltValue="0hYF+oiTkWYBe8ZHRYzyNg==" spinCount="100000" sheet="1" objects="1" scenarios="1"/>
  <pageMargins left="0.7" right="0.7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tabColor theme="6" tint="-0.499984740745262"/>
  </sheetPr>
  <dimension ref="A1:K27"/>
  <sheetViews>
    <sheetView topLeftCell="A2" zoomScale="140" zoomScaleNormal="140" workbookViewId="0"/>
  </sheetViews>
  <sheetFormatPr defaultColWidth="9.26953125" defaultRowHeight="14.5" x14ac:dyDescent="0.35"/>
  <cols>
    <col min="1" max="1" width="9.26953125" style="326"/>
    <col min="2" max="2" width="37.26953125" style="326" customWidth="1"/>
    <col min="3" max="4" width="13.7265625" style="326" customWidth="1"/>
    <col min="5" max="5" width="15" style="326" customWidth="1"/>
    <col min="6" max="10" width="13.7265625" style="326" customWidth="1"/>
    <col min="11" max="16384" width="9.26953125" style="326"/>
  </cols>
  <sheetData>
    <row r="1" spans="1:11" s="66" customFormat="1" ht="32.25" customHeight="1" x14ac:dyDescent="0.35">
      <c r="A1" s="63" t="s">
        <v>60</v>
      </c>
      <c r="B1" s="326"/>
      <c r="C1" s="64"/>
      <c r="D1" s="64"/>
      <c r="E1" s="64"/>
      <c r="F1" s="64"/>
      <c r="G1" s="64"/>
      <c r="I1" s="127"/>
      <c r="J1" s="127"/>
      <c r="K1" s="64" t="s">
        <v>1</v>
      </c>
    </row>
    <row r="3" spans="1:11" ht="39" x14ac:dyDescent="0.35">
      <c r="B3" s="360" t="s">
        <v>61</v>
      </c>
      <c r="C3" s="433" t="s">
        <v>62</v>
      </c>
      <c r="D3" s="433" t="s">
        <v>63</v>
      </c>
      <c r="E3" s="433" t="s">
        <v>64</v>
      </c>
      <c r="F3" s="433" t="s">
        <v>65</v>
      </c>
      <c r="G3" s="433" t="s">
        <v>66</v>
      </c>
      <c r="H3" s="433" t="s">
        <v>67</v>
      </c>
      <c r="I3" s="433" t="s">
        <v>68</v>
      </c>
      <c r="J3" s="433" t="s">
        <v>69</v>
      </c>
    </row>
    <row r="4" spans="1:11" x14ac:dyDescent="0.35">
      <c r="B4" s="348" t="s">
        <v>7</v>
      </c>
      <c r="C4" s="349">
        <f>IF(VLOOKUP(C$3,'Transit Service'!$B$37:$C$42,2,0)="[Error]",0,VLOOKUP(C$3,'Transit Service'!$B$37:$C$42,2,0))</f>
        <v>0</v>
      </c>
      <c r="D4" s="350" t="s">
        <v>70</v>
      </c>
      <c r="E4" s="350" t="s">
        <v>70</v>
      </c>
      <c r="F4" s="349">
        <f>IF(VLOOKUP(F$3,'Transit Service'!$B$37:$C$42,2,0)="[Error]",0,VLOOKUP(F$3,'Transit Service'!$B$37:$C$42,2,0))</f>
        <v>0</v>
      </c>
      <c r="G4" s="349">
        <f>IF(VLOOKUP(G$3,'Transit Service'!$B$37:$C$42,2,0)="[Error]",0,VLOOKUP(G$3,'Transit Service'!$B$37:$C$42,2,0))</f>
        <v>0</v>
      </c>
      <c r="H4" s="349">
        <f>IF(VLOOKUP(H$3,'Transit Service'!$B$37:$C$42,2,0)="[Error]",0,VLOOKUP(H$3,'Transit Service'!$B$37:$C$42,2,0))</f>
        <v>0</v>
      </c>
      <c r="I4" s="349">
        <f>IF(VLOOKUP(I$3,'Transit Service'!$B$37:$C$42,2,0)="[Error]",0,VLOOKUP(I$3,'Transit Service'!$B$37:$C$42,2,0))</f>
        <v>0</v>
      </c>
      <c r="J4" s="349">
        <f>IF(VLOOKUP(J$3,'Transit Service'!$B$37:$C$42,2,0)="[Error]",0,VLOOKUP(J$3,'Transit Service'!$B$37:$C$42,2,0))</f>
        <v>0</v>
      </c>
    </row>
    <row r="5" spans="1:11" x14ac:dyDescent="0.35">
      <c r="B5" s="348" t="s">
        <v>11</v>
      </c>
      <c r="C5" s="349">
        <f>IF(VLOOKUP(C$3,'Transit Station Amenities'!$B$44:$C$49,2,0)="(Error]",0,VLOOKUP(C$3,'Transit Station Amenities'!$B$44:$C$49,2,0))</f>
        <v>0</v>
      </c>
      <c r="D5" s="350" t="s">
        <v>70</v>
      </c>
      <c r="E5" s="350" t="s">
        <v>70</v>
      </c>
      <c r="F5" s="349">
        <f>IF(VLOOKUP(F$3,'Transit Station Amenities'!$B$44:$C$49,2,0)="(Error]",0,VLOOKUP(F$3,'Transit Station Amenities'!$B$44:$C$49,2,0))</f>
        <v>0</v>
      </c>
      <c r="G5" s="349">
        <f>IF(VLOOKUP(G$3,'Transit Station Amenities'!$B$44:$C$49,2,0)="(Error]",0,VLOOKUP(G$3,'Transit Station Amenities'!$B$44:$C$49,2,0))</f>
        <v>0</v>
      </c>
      <c r="H5" s="349">
        <f>IF(VLOOKUP(H$3,'Transit Station Amenities'!$B$44:$C$49,2,0)="(Error]",0,VLOOKUP(H$3,'Transit Station Amenities'!$B$44:$C$49,2,0))</f>
        <v>0</v>
      </c>
      <c r="I5" s="349">
        <f>IF(VLOOKUP(I$3,'Transit Station Amenities'!$B$44:$C$49,2,0)="(Error]",0,VLOOKUP(I$3,'Transit Station Amenities'!$B$44:$C$49,2,0))</f>
        <v>0</v>
      </c>
      <c r="J5" s="349">
        <f>IF(VLOOKUP(J$3,'Transit Station Amenities'!$B$44:$C$49,2,0)="(Error]",0,VLOOKUP(J$3,'Transit Station Amenities'!$B$44:$C$49,2,0))</f>
        <v>0</v>
      </c>
    </row>
    <row r="6" spans="1:11" x14ac:dyDescent="0.35">
      <c r="B6" s="348" t="s">
        <v>14</v>
      </c>
      <c r="C6" s="349">
        <f>IFERROR(VLOOKUP(C$3,'Ferry Service'!$B$44:$C$49,2,FALSE),0)</f>
        <v>0</v>
      </c>
      <c r="D6" s="350" t="s">
        <v>70</v>
      </c>
      <c r="E6" s="350" t="s">
        <v>70</v>
      </c>
      <c r="F6" s="349">
        <f>IFERROR(VLOOKUP(F$3,'Ferry Service'!$B$44:$C$49,2,FALSE),0)</f>
        <v>0</v>
      </c>
      <c r="G6" s="349">
        <f>IFERROR(VLOOKUP(G$3,'Ferry Service'!$B$44:$C$49,2,FALSE),0)</f>
        <v>0</v>
      </c>
      <c r="H6" s="349">
        <f>IFERROR(VLOOKUP(H$3,'Ferry Service'!$B$44:$C$49,2,FALSE),0)</f>
        <v>0</v>
      </c>
      <c r="I6" s="349">
        <f>IFERROR(VLOOKUP(I$3,'Ferry Service'!$B$44:$C$49,2,FALSE),0)</f>
        <v>0</v>
      </c>
      <c r="J6" s="349">
        <f>IFERROR(VLOOKUP(J$3,'Ferry Service'!$B$44:$C$49,2,FALSE),0)</f>
        <v>0</v>
      </c>
    </row>
    <row r="7" spans="1:11" x14ac:dyDescent="0.35">
      <c r="B7" s="348" t="s">
        <v>18</v>
      </c>
      <c r="C7" s="349">
        <f>IF(VLOOKUP(C$3,'BAT Lanes'!$B$45:$C$50,2,0)="(Error]",0,VLOOKUP(C$3,'BAT Lanes'!$B$45:$C$50,2,0))</f>
        <v>0</v>
      </c>
      <c r="D7" s="350" t="s">
        <v>70</v>
      </c>
      <c r="E7" s="350" t="s">
        <v>70</v>
      </c>
      <c r="F7" s="349">
        <f>IF(VLOOKUP(F$3,'BAT Lanes'!$B$45:$C$50,2,0)="(Error]",0,VLOOKUP(F$3,'BAT Lanes'!$B$45:$C$50,2,0))</f>
        <v>0</v>
      </c>
      <c r="G7" s="349">
        <f>IF(VLOOKUP(G$3,'BAT Lanes'!$B$45:$C$50,2,0)="(Error]",0,VLOOKUP(G$3,'BAT Lanes'!$B$45:$C$50,2,0))</f>
        <v>0</v>
      </c>
      <c r="H7" s="349">
        <f>IF(VLOOKUP(H$3,'BAT Lanes'!$B$45:$C$50,2,0)="(Error]",0,VLOOKUP(H$3,'BAT Lanes'!$B$45:$C$50,2,0))</f>
        <v>0</v>
      </c>
      <c r="I7" s="349">
        <f>IF(VLOOKUP(I$3,'BAT Lanes'!$B$45:$C$50,2,0)="(Error]",0,VLOOKUP(I$3,'BAT Lanes'!$B$45:$C$50,2,0))</f>
        <v>0</v>
      </c>
      <c r="J7" s="349">
        <f>IF(VLOOKUP(J$3,'BAT Lanes'!$B$45:$C$50,2,0)="(Error]",0,VLOOKUP(J$3,'BAT Lanes'!$B$45:$C$50,2,0))</f>
        <v>0</v>
      </c>
    </row>
    <row r="8" spans="1:11" ht="16.149999999999999" customHeight="1" x14ac:dyDescent="0.35">
      <c r="B8" s="436" t="s">
        <v>23</v>
      </c>
      <c r="C8" s="351">
        <f>IF(VLOOKUP(C$3,'Bike Facilities'!$B$47:$C$52,2,0)="[Error]",0,VLOOKUP(C$3,'Bike Facilities'!$B$47:$C$52,2,0))</f>
        <v>0</v>
      </c>
      <c r="D8" s="352" t="s">
        <v>70</v>
      </c>
      <c r="E8" s="352" t="s">
        <v>70</v>
      </c>
      <c r="F8" s="351">
        <f>IF(VLOOKUP(F$3,'Bike Facilities'!$B$47:$C$52,2,0)="[Error]",0,VLOOKUP(F$3,'Bike Facilities'!$B$47:$C$52,2,0))</f>
        <v>0</v>
      </c>
      <c r="G8" s="351">
        <f>IF(VLOOKUP(G$3,'Bike Facilities'!$B$47:$C$52,2,0)="[Error]",0,VLOOKUP(G$3,'Bike Facilities'!$B$47:$C$52,2,0))</f>
        <v>0</v>
      </c>
      <c r="H8" s="351">
        <f>IF(VLOOKUP(H$3,'Bike Facilities'!$B$47:$C$52,2,0)="[Error]",0,VLOOKUP(H$3,'Bike Facilities'!$B$47:$C$52,2,0))</f>
        <v>0</v>
      </c>
      <c r="I8" s="351">
        <f>IF(VLOOKUP(I$3,'Bike Facilities'!$B$47:$C$52,2,0)="[Error]",0,VLOOKUP(I$3,'Bike Facilities'!$B$47:$C$52,2,0))</f>
        <v>0</v>
      </c>
      <c r="J8" s="351">
        <f>IF(VLOOKUP(J$3,'Bike Facilities'!$B$47:$C$53,2,0)="[Error]",0,VLOOKUP(J$3,'Bike Facilities'!$B$47:$C$53,2,0))</f>
        <v>0</v>
      </c>
    </row>
    <row r="9" spans="1:11" ht="15" customHeight="1" x14ac:dyDescent="0.35">
      <c r="B9" s="436" t="s">
        <v>27</v>
      </c>
      <c r="C9" s="351">
        <f>IF(VLOOKUP(C$3,'Ped Facilities'!$B$47:$C$52,2,0)="[Error]",0,VLOOKUP(C$3,'Ped Facilities'!$B$47:$C$52,2,0))</f>
        <v>0</v>
      </c>
      <c r="D9" s="352" t="s">
        <v>70</v>
      </c>
      <c r="E9" s="352" t="s">
        <v>70</v>
      </c>
      <c r="F9" s="351">
        <f>IF(VLOOKUP(F$3,'Ped Facilities'!$B$47:$C$52,2,0)="[Error]",0,VLOOKUP(F$3,'Ped Facilities'!$B$47:$C$52,2,0))</f>
        <v>0</v>
      </c>
      <c r="G9" s="351">
        <f>IF(VLOOKUP(G$3,'Ped Facilities'!$B$47:$C$52,2,0)="[Error]",0,VLOOKUP(G$3,'Ped Facilities'!$B$47:$C$52,2,0))</f>
        <v>0</v>
      </c>
      <c r="H9" s="351">
        <f>IF(VLOOKUP(H$3,'Ped Facilities'!$B$47:$C$52,2,0)="[Error]",0,VLOOKUP(H$3,'Ped Facilities'!$B$47:$C$52,2,0))</f>
        <v>0</v>
      </c>
      <c r="I9" s="351">
        <f>IF(VLOOKUP(I$3,'Ped Facilities'!$B$47:$C$52,2,0)="[Error]",0,VLOOKUP(I$3,'Ped Facilities'!$B$47:$C$52,2,0))</f>
        <v>0</v>
      </c>
      <c r="J9" s="351">
        <f>IF(VLOOKUP(J$3,'Ped Facilities'!$B$47:$C$52,2,0)="[Error]",0,VLOOKUP(J$3,'Ped Facilities'!$B$47:$C$52,2,0))</f>
        <v>0</v>
      </c>
    </row>
    <row r="10" spans="1:11" x14ac:dyDescent="0.35">
      <c r="B10" s="353" t="s">
        <v>31</v>
      </c>
      <c r="C10" s="354" t="s">
        <v>70</v>
      </c>
      <c r="D10" s="355">
        <f>IFERROR('Reduce Intersection Delay'!C66,0)</f>
        <v>0</v>
      </c>
      <c r="E10" s="354" t="s">
        <v>70</v>
      </c>
      <c r="F10" s="355">
        <f>IFERROR(VLOOKUP(F$3,'Reduce Intersection Delay'!$B$67:$C$71,2,FALSE),0)</f>
        <v>0</v>
      </c>
      <c r="G10" s="355">
        <f>IFERROR(VLOOKUP(G$3,'Reduce Intersection Delay'!$B$67:$C$71,2,FALSE),0)</f>
        <v>0</v>
      </c>
      <c r="H10" s="355">
        <f>IFERROR(VLOOKUP(H$3,'Reduce Intersection Delay'!$B$67:$C$71,2,FALSE),0)</f>
        <v>0</v>
      </c>
      <c r="I10" s="355">
        <f>IFERROR(VLOOKUP(I$3,'Reduce Intersection Delay'!$B$67:$C$71,2,FALSE),0)</f>
        <v>0</v>
      </c>
      <c r="J10" s="355">
        <f>IFERROR(VLOOKUP(J$3,'Reduce Intersection Delay'!$B$67:$C$71,2,FALSE),0)</f>
        <v>0</v>
      </c>
    </row>
    <row r="11" spans="1:11" x14ac:dyDescent="0.35">
      <c r="B11" s="353" t="s">
        <v>34</v>
      </c>
      <c r="C11" s="354" t="s">
        <v>70</v>
      </c>
      <c r="D11" s="354" t="s">
        <v>70</v>
      </c>
      <c r="E11" s="355">
        <f>IF(VLOOKUP(E$3,'Increase Corridor Speed'!$B$83:$C$88,2,FALSE)="[Error]",0,VLOOKUP(E$3,'Increase Corridor Speed'!$B$83:$C$88,2,FALSE))</f>
        <v>0</v>
      </c>
      <c r="F11" s="355">
        <f>IF(VLOOKUP(F$3,'Increase Corridor Speed'!$B$83:$C$88,2,FALSE)="[Error]",0,VLOOKUP(F$3,'Increase Corridor Speed'!$B$83:$C$88,2,FALSE))</f>
        <v>0</v>
      </c>
      <c r="G11" s="355">
        <f>IF(VLOOKUP(G$3,'Increase Corridor Speed'!$B$83:$C$88,2,FALSE)="[Error]",0,VLOOKUP(G$3,'Increase Corridor Speed'!$B$83:$C$88,2,FALSE))</f>
        <v>0</v>
      </c>
      <c r="H11" s="355">
        <f>IF(VLOOKUP(H$3,'Increase Corridor Speed'!$B$83:$C$88,2,FALSE)="[Error]",0,VLOOKUP(H$3,'Increase Corridor Speed'!$B$83:$C$88,2,FALSE))</f>
        <v>0</v>
      </c>
      <c r="I11" s="355">
        <f>IF(VLOOKUP(I$3,'Increase Corridor Speed'!$B$83:$C$88,2,FALSE)="[Error]",0,VLOOKUP(I$3,'Increase Corridor Speed'!$B$83:$C$88,2,FALSE))</f>
        <v>0</v>
      </c>
      <c r="J11" s="355">
        <f>IF(VLOOKUP(J$3,'Increase Corridor Speed'!$B$83:$C$88,2,FALSE)="[Error]",0,VLOOKUP(J$3,'Increase Corridor Speed'!$B$83:$C$88,2,FALSE))</f>
        <v>0</v>
      </c>
    </row>
    <row r="12" spans="1:11" x14ac:dyDescent="0.35">
      <c r="B12" s="356" t="s">
        <v>71</v>
      </c>
      <c r="C12" s="357">
        <f>IF(VLOOKUP(C$3,'Outreach Prgms. &amp; Sub. Transit '!$B$38:$C$43,2,0)="[Error]",0,VLOOKUP(C$3,'Outreach Prgms. &amp; Sub. Transit '!$B$38:$C$43,2,0))</f>
        <v>0</v>
      </c>
      <c r="D12" s="358" t="s">
        <v>70</v>
      </c>
      <c r="E12" s="358" t="s">
        <v>70</v>
      </c>
      <c r="F12" s="357">
        <f>IF(VLOOKUP(F$3,'Outreach Prgms. &amp; Sub. Transit '!$B$38:$C$43,2,0)="[Error]",0,VLOOKUP(F$3,'Outreach Prgms. &amp; Sub. Transit '!$B$38:$C$43,2,0))</f>
        <v>0</v>
      </c>
      <c r="G12" s="357">
        <f>IF(VLOOKUP(G$3,'Outreach Prgms. &amp; Sub. Transit '!$B$38:$C$43,2,0)="[Error]",0,VLOOKUP(G$3,'Outreach Prgms. &amp; Sub. Transit '!$B$38:$C$43,2,0))</f>
        <v>0</v>
      </c>
      <c r="H12" s="357">
        <f>IF(VLOOKUP(H$3,'Outreach Prgms. &amp; Sub. Transit '!$B$38:$C$43,2,0)="[Error]",0,VLOOKUP(H$3,'Outreach Prgms. &amp; Sub. Transit '!$B$38:$C$43,2,0))</f>
        <v>0</v>
      </c>
      <c r="I12" s="357">
        <f>IF(VLOOKUP(I$3,'Outreach Prgms. &amp; Sub. Transit '!$B$38:$C$43,2,0)="[Error]",0,VLOOKUP(I$3,'Outreach Prgms. &amp; Sub. Transit '!$B$38:$C$43,2,0))</f>
        <v>0</v>
      </c>
      <c r="J12" s="357">
        <f>IF(VLOOKUP(J$3,'Outreach Prgms. &amp; Sub. Transit '!$B$38:$C$43,2,0)="[Error]",0,VLOOKUP(J$3,'Outreach Prgms. &amp; Sub. Transit '!$B$38:$C$43,2,0))</f>
        <v>0</v>
      </c>
    </row>
    <row r="13" spans="1:11" x14ac:dyDescent="0.35">
      <c r="B13" s="356" t="s">
        <v>42</v>
      </c>
      <c r="C13" s="357">
        <f>IF(VLOOKUP(C$3,Vanpools!$B$45:$C$50,2,0)="[Error]",0,VLOOKUP(C$3,Vanpools!$B$45:$C$50,2,0))</f>
        <v>0</v>
      </c>
      <c r="D13" s="358" t="s">
        <v>70</v>
      </c>
      <c r="E13" s="358" t="s">
        <v>70</v>
      </c>
      <c r="F13" s="357">
        <f>IF(VLOOKUP(F$3,Vanpools!$B$45:$C$50,2,0)="[Error]",0,VLOOKUP(F$3,Vanpools!$B$45:$C$50,2,0))</f>
        <v>0</v>
      </c>
      <c r="G13" s="357">
        <f>IF(VLOOKUP(G$3,Vanpools!$B$45:$C$50,2,0)="[Error]",0,VLOOKUP(G$3,Vanpools!$B$45:$C$50,2,0))</f>
        <v>0</v>
      </c>
      <c r="H13" s="357">
        <f>IF(VLOOKUP(H$3,Vanpools!$B$45:$C$50,2,0)="[Error]",0,VLOOKUP(H$3,Vanpools!$B$45:$C$50,2,0))</f>
        <v>0</v>
      </c>
      <c r="I13" s="357">
        <f>IF(VLOOKUP(I$3,Vanpools!$B$45:$C$50,2,0)="[Error]",0,VLOOKUP(I$3,Vanpools!$B$45:$C$50,2,0))</f>
        <v>0</v>
      </c>
      <c r="J13" s="357">
        <f>IF(VLOOKUP(J$3,Vanpools!$B$45:$C$50,2,0)="[Error]",0,VLOOKUP(J$3,Vanpools!$B$45:$C$50,2,0))</f>
        <v>0</v>
      </c>
    </row>
    <row r="14" spans="1:11" x14ac:dyDescent="0.35">
      <c r="B14" s="393" t="s">
        <v>46</v>
      </c>
      <c r="C14" s="346" t="s">
        <v>70</v>
      </c>
      <c r="D14" s="345" t="s">
        <v>70</v>
      </c>
      <c r="E14" s="345" t="s">
        <v>70</v>
      </c>
      <c r="F14" s="394">
        <f>IFERROR(VLOOKUP(F$3,'Vehicle Replacement'!$B$44:$C$48,2,FALSE),0)</f>
        <v>0</v>
      </c>
      <c r="G14" s="394">
        <f>IFERROR(VLOOKUP(G$3,'Vehicle Replacement'!$B$44:$C$48,2,FALSE),0)</f>
        <v>0</v>
      </c>
      <c r="H14" s="394">
        <f>IFERROR(VLOOKUP(H$3,'Vehicle Replacement'!$B$44:$C$48,2,FALSE),0)</f>
        <v>0</v>
      </c>
      <c r="I14" s="394">
        <f>IFERROR(VLOOKUP(I$3,'Vehicle Replacement'!$B$44:$C$48,2,FALSE),0)</f>
        <v>0</v>
      </c>
      <c r="J14" s="394">
        <f>IFERROR(VLOOKUP(J$3,'Vehicle Replacement'!$B$44:$C$48,2,FALSE),0)</f>
        <v>0</v>
      </c>
    </row>
    <row r="15" spans="1:11" x14ac:dyDescent="0.35">
      <c r="B15" s="437" t="s">
        <v>72</v>
      </c>
      <c r="C15" s="346" t="s">
        <v>70</v>
      </c>
      <c r="D15" s="346" t="s">
        <v>70</v>
      </c>
      <c r="E15" s="346" t="s">
        <v>70</v>
      </c>
      <c r="F15" s="347">
        <f>IFERROR(VLOOKUP(F$3,'MHD ZEVs'!$B$44:$C$48,2,FALSE),0)</f>
        <v>0</v>
      </c>
      <c r="G15" s="347">
        <f>IFERROR(VLOOKUP(G$3,'MHD ZEVs'!$B$44:$C$48,2,FALSE),0)</f>
        <v>0</v>
      </c>
      <c r="H15" s="347">
        <f>IFERROR(VLOOKUP(H$3,'MHD ZEVs'!$B$44:$C$48,2,FALSE),0)</f>
        <v>0</v>
      </c>
      <c r="I15" s="347">
        <f>IFERROR(VLOOKUP(I$3,'MHD ZEVs'!$B$44:$C$48,2,FALSE),0)</f>
        <v>0</v>
      </c>
      <c r="J15" s="347">
        <f>IFERROR(VLOOKUP(J$3,'MHD ZEVs'!$B$44:$C$48,2,FALSE),0)</f>
        <v>0</v>
      </c>
    </row>
    <row r="16" spans="1:11" x14ac:dyDescent="0.35">
      <c r="B16" s="437" t="s">
        <v>73</v>
      </c>
      <c r="C16" s="346" t="s">
        <v>70</v>
      </c>
      <c r="D16" s="346" t="s">
        <v>70</v>
      </c>
      <c r="E16" s="346" t="s">
        <v>70</v>
      </c>
      <c r="F16" s="347">
        <f>IFERROR(VLOOKUP(F$3,'LD ZEVs'!$B$44:$C$48,2,FALSE),0)</f>
        <v>0</v>
      </c>
      <c r="G16" s="347">
        <f>IFERROR(VLOOKUP(G$3,'LD ZEVs'!$B$44:$C$48,2,FALSE),0)</f>
        <v>0</v>
      </c>
      <c r="H16" s="347">
        <f>IFERROR(VLOOKUP(H$3,'LD ZEVs'!$B$44:$C$48,2,FALSE),0)</f>
        <v>0</v>
      </c>
      <c r="I16" s="347">
        <f>IFERROR(VLOOKUP(I$3,'LD ZEVs'!$B$44:$C$48,2,FALSE),0)</f>
        <v>0</v>
      </c>
      <c r="J16" s="347">
        <f>IFERROR(VLOOKUP(J$3,'LD ZEVs'!$B$44:$C$48,2,FALSE),0)</f>
        <v>0</v>
      </c>
    </row>
    <row r="17" spans="2:10" x14ac:dyDescent="0.35">
      <c r="B17" s="438" t="s">
        <v>58</v>
      </c>
      <c r="C17" s="359">
        <f>'VMT Reduction'!C32</f>
        <v>0</v>
      </c>
      <c r="D17" s="407" t="s">
        <v>70</v>
      </c>
      <c r="E17" s="407" t="s">
        <v>70</v>
      </c>
      <c r="F17" s="359">
        <f>VLOOKUP(F3,'VMT Reduction'!$B$32:$C$37,2,0)</f>
        <v>0</v>
      </c>
      <c r="G17" s="359">
        <f>VLOOKUP(G3,'VMT Reduction'!$B$32:$C$37,2,0)</f>
        <v>0</v>
      </c>
      <c r="H17" s="359">
        <f>VLOOKUP(H3,'VMT Reduction'!$B$32:$C$37,2,0)</f>
        <v>0</v>
      </c>
      <c r="I17" s="359">
        <f>VLOOKUP(I3,'VMT Reduction'!$B$32:$C$37,2,0)</f>
        <v>0</v>
      </c>
      <c r="J17" s="359">
        <f>VLOOKUP(J3,'VMT Reduction'!$B$32:$C$37,2,0)</f>
        <v>0</v>
      </c>
    </row>
    <row r="18" spans="2:10" x14ac:dyDescent="0.35">
      <c r="B18" s="409" t="s">
        <v>74</v>
      </c>
      <c r="C18" s="410">
        <f t="shared" ref="C18:J18" si="0">SUM(C4:C17)</f>
        <v>0</v>
      </c>
      <c r="D18" s="410">
        <f t="shared" si="0"/>
        <v>0</v>
      </c>
      <c r="E18" s="410">
        <f t="shared" si="0"/>
        <v>0</v>
      </c>
      <c r="F18" s="410">
        <f t="shared" si="0"/>
        <v>0</v>
      </c>
      <c r="G18" s="410">
        <f t="shared" si="0"/>
        <v>0</v>
      </c>
      <c r="H18" s="410">
        <f t="shared" si="0"/>
        <v>0</v>
      </c>
      <c r="I18" s="410">
        <f t="shared" si="0"/>
        <v>0</v>
      </c>
      <c r="J18" s="410">
        <f t="shared" si="0"/>
        <v>0</v>
      </c>
    </row>
    <row r="19" spans="2:10" x14ac:dyDescent="0.35">
      <c r="B19" s="547" t="s">
        <v>75</v>
      </c>
      <c r="C19" s="547"/>
      <c r="D19" s="547"/>
      <c r="E19" s="547"/>
      <c r="F19" s="412">
        <f>F$18*Assumptions!$D$121/Assumptions!$D122</f>
        <v>0</v>
      </c>
      <c r="G19" s="412">
        <f>G$18*Assumptions!$D$121/Assumptions!$D122</f>
        <v>0</v>
      </c>
      <c r="H19" s="412">
        <f>H$18*Assumptions!$D$121/Assumptions!$D122</f>
        <v>0</v>
      </c>
      <c r="I19" s="412">
        <f>I$18*Assumptions!$D$121/Assumptions!$D122</f>
        <v>0</v>
      </c>
      <c r="J19" s="412">
        <f>J$18*Assumptions!$D$121/Assumptions!$D122</f>
        <v>0</v>
      </c>
    </row>
    <row r="20" spans="2:10" x14ac:dyDescent="0.35">
      <c r="B20" s="546" t="s">
        <v>76</v>
      </c>
      <c r="C20" s="546"/>
      <c r="D20" s="546"/>
      <c r="E20" s="546"/>
      <c r="F20" s="408">
        <f>F$18*Assumptions!$D$121*Assumptions!$D123</f>
        <v>0</v>
      </c>
      <c r="G20" s="408">
        <f>G$18*Assumptions!$D$121*Assumptions!$D123</f>
        <v>0</v>
      </c>
      <c r="H20" s="408">
        <f>H$18*Assumptions!$D$121*Assumptions!$D123</f>
        <v>0</v>
      </c>
      <c r="I20" s="408">
        <f>I$18*Assumptions!$D$121*Assumptions!$D123</f>
        <v>0</v>
      </c>
      <c r="J20" s="408">
        <f>J$18*Assumptions!$D$121*Assumptions!$D123</f>
        <v>0</v>
      </c>
    </row>
    <row r="22" spans="2:10" x14ac:dyDescent="0.35">
      <c r="F22" s="411"/>
    </row>
    <row r="23" spans="2:10" x14ac:dyDescent="0.35">
      <c r="F23" s="411"/>
    </row>
    <row r="26" spans="2:10" x14ac:dyDescent="0.35">
      <c r="F26" s="395"/>
    </row>
    <row r="27" spans="2:10" x14ac:dyDescent="0.35">
      <c r="F27" s="395"/>
    </row>
  </sheetData>
  <sheetProtection algorithmName="SHA-512" hashValue="8XjDRWO5fwOT9t/nsjbHG8Nmwy2dk3GD/LEQQ3PrIkWne4fmWmbcMDeMM3cxYBPVzbF4Z1xL5b5E1gZvhS0YQA==" saltValue="wcCxfKDkxSmrs0zw95zmmw==" spinCount="100000" sheet="1" objects="1" scenarios="1"/>
  <mergeCells count="2">
    <mergeCell ref="B20:E20"/>
    <mergeCell ref="B19:E19"/>
  </mergeCells>
  <hyperlinks>
    <hyperlink ref="B15" location="'MHD ZEVs'!A1" display="Medium &amp; Heavy Duty Fleet Electrification" xr:uid="{00000000-0004-0000-0100-000002000000}"/>
    <hyperlink ref="B4" location="'Transit Service'!A1" display="New or Expanded Transit Service" xr:uid="{00000000-0004-0000-0100-000003000000}"/>
    <hyperlink ref="B5" location="'Transit Station Amenities'!A1" display="Transit Station Amenities" xr:uid="{00000000-0004-0000-0100-000004000000}"/>
    <hyperlink ref="B6" location="'Ferry Service'!A1" display="New or Expanded Ferry Service " xr:uid="{00000000-0004-0000-0100-000005000000}"/>
    <hyperlink ref="B7" location="'BAT Lanes'!A1" display="Business Access and Transit (BAT) Lanes" xr:uid="{00000000-0004-0000-0100-000006000000}"/>
    <hyperlink ref="B8" location="'Bike Facilities'!A1" display="'Bike Facilities'!A1" xr:uid="{00000000-0004-0000-0100-000007000000}"/>
    <hyperlink ref="B10" location="'Reduce Intersection Delay'!A1" display="Reduce Intersection Delay" xr:uid="{00000000-0004-0000-0100-000008000000}"/>
    <hyperlink ref="B11" location="'Increase Corridor Speed'!A1" display="Increase Corridor Speed" xr:uid="{00000000-0004-0000-0100-000009000000}"/>
    <hyperlink ref="B12" location="'Outreach Prgms &amp; Sub. Transit '!A1" display="Outreach Programs &amp; Subsidized Transit" xr:uid="{00000000-0004-0000-0100-00000A000000}"/>
    <hyperlink ref="B13" location="Vanpools!A1" display="Vanpools" xr:uid="{00000000-0004-0000-0100-00000B000000}"/>
    <hyperlink ref="B17" location="'VMT Reduction'!A1" display="VMT Reduction" xr:uid="{00000000-0004-0000-0100-00000C000000}"/>
    <hyperlink ref="B16" location="'LD ZEVs'!A1" display="Light Duty Fleet Electrification" xr:uid="{42CAEA58-BEDF-4D22-9E52-3B537DF51569}"/>
    <hyperlink ref="B9" location="'Ped Facilities'!A1" display="'Ped Facilities'!A1" xr:uid="{2F8BD3ED-F823-4267-A8E4-D2D6E4C4A382}"/>
  </hyperlink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tabColor theme="4"/>
  </sheetPr>
  <dimension ref="A1:BX142"/>
  <sheetViews>
    <sheetView zoomScale="115" zoomScaleNormal="115" zoomScalePageLayoutView="80" workbookViewId="0">
      <selection activeCell="C14" sqref="C14"/>
    </sheetView>
  </sheetViews>
  <sheetFormatPr defaultColWidth="8.7265625" defaultRowHeight="14.5" x14ac:dyDescent="0.35"/>
  <cols>
    <col min="1" max="1" width="3.7265625" style="1" customWidth="1"/>
    <col min="2" max="2" width="57.7265625" style="1" customWidth="1"/>
    <col min="3" max="3" width="12.7265625" style="1" customWidth="1"/>
    <col min="4" max="4" width="15.26953125" style="1" customWidth="1"/>
    <col min="5" max="5" width="15" style="1" customWidth="1"/>
    <col min="6" max="6" width="4.7265625" style="1" customWidth="1"/>
    <col min="7" max="7" width="10.7265625" style="18" hidden="1" customWidth="1"/>
    <col min="8" max="8" width="9.54296875" style="18" hidden="1" customWidth="1"/>
    <col min="9" max="9" width="5.7265625" style="13" hidden="1" customWidth="1"/>
    <col min="10" max="10" width="22.453125" style="64" hidden="1" customWidth="1"/>
    <col min="11" max="11" width="6.7265625" style="64" hidden="1" customWidth="1"/>
    <col min="12" max="12" width="6.26953125" style="64" hidden="1" customWidth="1"/>
    <col min="13" max="13" width="5.7265625" style="1" hidden="1" customWidth="1"/>
    <col min="14" max="14" width="4.7265625" style="64" hidden="1" customWidth="1"/>
    <col min="15" max="16" width="6.26953125" style="64" hidden="1" customWidth="1"/>
    <col min="17" max="17" width="8.26953125" style="64" hidden="1" customWidth="1"/>
    <col min="18" max="39" width="8.453125" style="64" customWidth="1"/>
    <col min="40" max="44" width="8.453125" style="13" customWidth="1"/>
    <col min="45" max="76" width="8.7265625" style="13"/>
    <col min="77" max="16384" width="8.7265625" style="1"/>
  </cols>
  <sheetData>
    <row r="1" spans="1:76" s="66" customFormat="1" ht="32.25" customHeight="1" x14ac:dyDescent="0.35">
      <c r="A1" s="63" t="s">
        <v>7</v>
      </c>
      <c r="B1" s="64"/>
      <c r="C1" s="64"/>
      <c r="D1" s="64"/>
      <c r="E1" s="64"/>
      <c r="G1" s="127"/>
      <c r="H1" s="127"/>
      <c r="I1" s="64" t="s">
        <v>1</v>
      </c>
      <c r="AN1" s="503"/>
      <c r="AO1" s="503"/>
      <c r="AP1" s="503"/>
      <c r="AQ1" s="503"/>
      <c r="AR1" s="503"/>
      <c r="AS1" s="503"/>
      <c r="AT1" s="503"/>
      <c r="AU1" s="503"/>
      <c r="AV1" s="503"/>
      <c r="AW1" s="503"/>
      <c r="AX1" s="503"/>
      <c r="AY1" s="503"/>
      <c r="AZ1" s="503"/>
      <c r="BA1" s="503"/>
      <c r="BB1" s="503"/>
      <c r="BC1" s="503"/>
      <c r="BD1" s="503"/>
      <c r="BE1" s="503"/>
      <c r="BF1" s="503"/>
      <c r="BG1" s="503"/>
      <c r="BH1" s="503"/>
      <c r="BI1" s="503"/>
      <c r="BJ1" s="503"/>
      <c r="BK1" s="503"/>
      <c r="BL1" s="503"/>
      <c r="BM1" s="503"/>
      <c r="BN1" s="503"/>
      <c r="BO1" s="503"/>
      <c r="BP1" s="503"/>
      <c r="BQ1" s="503"/>
      <c r="BR1" s="503"/>
      <c r="BS1" s="503"/>
      <c r="BT1" s="503"/>
      <c r="BU1" s="503"/>
      <c r="BV1" s="503"/>
      <c r="BW1" s="503"/>
      <c r="BX1" s="503"/>
    </row>
    <row r="2" spans="1:76" s="66" customFormat="1" ht="12.75" customHeight="1" x14ac:dyDescent="0.35">
      <c r="A2" s="63"/>
      <c r="B2" s="64"/>
      <c r="C2" s="64"/>
      <c r="D2" s="64"/>
      <c r="E2" s="64"/>
      <c r="G2" s="127"/>
      <c r="H2" s="127"/>
      <c r="I2" s="64"/>
      <c r="AN2" s="503"/>
      <c r="AO2" s="503"/>
      <c r="AP2" s="503"/>
      <c r="AQ2" s="503"/>
      <c r="AR2" s="503"/>
      <c r="AS2" s="503"/>
      <c r="AT2" s="503"/>
      <c r="AU2" s="503"/>
      <c r="AV2" s="503"/>
      <c r="AW2" s="503"/>
      <c r="AX2" s="503"/>
      <c r="AY2" s="503"/>
      <c r="AZ2" s="503"/>
      <c r="BA2" s="503"/>
      <c r="BB2" s="503"/>
      <c r="BC2" s="503"/>
      <c r="BD2" s="503"/>
      <c r="BE2" s="503"/>
      <c r="BF2" s="503"/>
      <c r="BG2" s="503"/>
      <c r="BH2" s="503"/>
      <c r="BI2" s="503"/>
      <c r="BJ2" s="503"/>
      <c r="BK2" s="503"/>
      <c r="BL2" s="503"/>
      <c r="BM2" s="503"/>
      <c r="BN2" s="503"/>
      <c r="BO2" s="503"/>
      <c r="BP2" s="503"/>
      <c r="BQ2" s="503"/>
      <c r="BR2" s="503"/>
      <c r="BS2" s="503"/>
      <c r="BT2" s="503"/>
      <c r="BU2" s="503"/>
      <c r="BV2" s="503"/>
      <c r="BW2" s="503"/>
      <c r="BX2" s="503"/>
    </row>
    <row r="3" spans="1:76" s="66" customFormat="1" ht="14.25" customHeight="1" x14ac:dyDescent="0.35">
      <c r="A3" s="185"/>
      <c r="B3" s="61" t="s">
        <v>77</v>
      </c>
      <c r="C3" s="549"/>
      <c r="D3" s="549"/>
      <c r="E3" s="549"/>
      <c r="F3" s="184"/>
      <c r="G3" s="127"/>
      <c r="H3" s="127"/>
      <c r="I3" s="64"/>
      <c r="AN3" s="503"/>
      <c r="AO3" s="503"/>
      <c r="AP3" s="503"/>
      <c r="AQ3" s="503"/>
      <c r="AR3" s="503"/>
      <c r="AS3" s="503"/>
      <c r="AT3" s="503"/>
      <c r="AU3" s="503"/>
      <c r="AV3" s="503"/>
      <c r="AW3" s="503"/>
      <c r="AX3" s="503"/>
      <c r="AY3" s="503"/>
      <c r="AZ3" s="503"/>
      <c r="BA3" s="503"/>
      <c r="BB3" s="503"/>
      <c r="BC3" s="503"/>
      <c r="BD3" s="503"/>
      <c r="BE3" s="503"/>
      <c r="BF3" s="503"/>
      <c r="BG3" s="503"/>
      <c r="BH3" s="503"/>
      <c r="BI3" s="503"/>
      <c r="BJ3" s="503"/>
      <c r="BK3" s="503"/>
      <c r="BL3" s="503"/>
      <c r="BM3" s="503"/>
      <c r="BN3" s="503"/>
      <c r="BO3" s="503"/>
      <c r="BP3" s="503"/>
      <c r="BQ3" s="503"/>
      <c r="BR3" s="503"/>
      <c r="BS3" s="503"/>
      <c r="BT3" s="503"/>
      <c r="BU3" s="503"/>
      <c r="BV3" s="503"/>
      <c r="BW3" s="503"/>
      <c r="BX3" s="503"/>
    </row>
    <row r="4" spans="1:76" customFormat="1" ht="23.5" x14ac:dyDescent="0.35">
      <c r="A4" s="186"/>
      <c r="B4" s="550" t="s">
        <v>78</v>
      </c>
      <c r="C4" s="550"/>
      <c r="D4" s="550"/>
      <c r="E4" s="550"/>
      <c r="F4" s="187"/>
      <c r="G4" s="66"/>
      <c r="H4" s="64"/>
      <c r="I4" s="64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66"/>
      <c r="AI4" s="66"/>
      <c r="AJ4" s="66"/>
      <c r="AK4" s="66"/>
      <c r="AL4" s="66"/>
      <c r="AM4" s="66"/>
      <c r="AN4" s="50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  <c r="BO4" s="13"/>
      <c r="BP4" s="13"/>
      <c r="BQ4" s="13"/>
      <c r="BR4" s="13"/>
      <c r="BS4" s="13"/>
      <c r="BT4" s="13"/>
      <c r="BU4" s="13"/>
      <c r="BV4" s="13"/>
      <c r="BW4" s="13"/>
      <c r="BX4" s="13"/>
    </row>
    <row r="5" spans="1:76" customFormat="1" ht="30" customHeight="1" x14ac:dyDescent="0.35">
      <c r="A5" s="186"/>
      <c r="B5" s="551" t="s">
        <v>79</v>
      </c>
      <c r="C5" s="551"/>
      <c r="D5" s="551"/>
      <c r="E5" s="551"/>
      <c r="F5" s="187"/>
      <c r="G5" s="66"/>
      <c r="H5" s="64"/>
      <c r="I5" s="64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66"/>
      <c r="W5" s="66"/>
      <c r="X5" s="66"/>
      <c r="Y5" s="66"/>
      <c r="Z5" s="66"/>
      <c r="AA5" s="66"/>
      <c r="AB5" s="66"/>
      <c r="AC5" s="66"/>
      <c r="AD5" s="66"/>
      <c r="AE5" s="66"/>
      <c r="AF5" s="66"/>
      <c r="AG5" s="66"/>
      <c r="AH5" s="66"/>
      <c r="AI5" s="66"/>
      <c r="AJ5" s="66"/>
      <c r="AK5" s="66"/>
      <c r="AL5" s="66"/>
      <c r="AM5" s="66"/>
      <c r="AN5" s="50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  <c r="BO5" s="13"/>
      <c r="BP5" s="13"/>
      <c r="BQ5" s="13"/>
      <c r="BR5" s="13"/>
      <c r="BS5" s="13"/>
      <c r="BT5" s="13"/>
      <c r="BU5" s="13"/>
      <c r="BV5" s="13"/>
      <c r="BW5" s="13"/>
      <c r="BX5" s="13"/>
    </row>
    <row r="6" spans="1:76" customFormat="1" ht="29.25" customHeight="1" x14ac:dyDescent="0.35">
      <c r="A6" s="186"/>
      <c r="B6" s="552" t="s">
        <v>80</v>
      </c>
      <c r="C6" s="552"/>
      <c r="D6" s="552"/>
      <c r="E6" s="552"/>
      <c r="F6" s="187"/>
      <c r="G6" s="66"/>
      <c r="H6" s="64"/>
      <c r="I6" s="64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  <c r="AA6" s="66"/>
      <c r="AB6" s="66"/>
      <c r="AC6" s="66"/>
      <c r="AD6" s="66"/>
      <c r="AE6" s="66"/>
      <c r="AF6" s="66"/>
      <c r="AG6" s="66"/>
      <c r="AH6" s="66"/>
      <c r="AI6" s="66"/>
      <c r="AJ6" s="66"/>
      <c r="AK6" s="66"/>
      <c r="AL6" s="66"/>
      <c r="AM6" s="66"/>
      <c r="AN6" s="50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  <c r="BO6" s="13"/>
      <c r="BP6" s="13"/>
      <c r="BQ6" s="13"/>
      <c r="BR6" s="13"/>
      <c r="BS6" s="13"/>
      <c r="BT6" s="13"/>
      <c r="BU6" s="13"/>
      <c r="BV6" s="13"/>
      <c r="BW6" s="13"/>
      <c r="BX6" s="13"/>
    </row>
    <row r="7" spans="1:76" customFormat="1" ht="27" customHeight="1" x14ac:dyDescent="0.35">
      <c r="A7" s="186"/>
      <c r="B7" s="553" t="s">
        <v>81</v>
      </c>
      <c r="C7" s="553"/>
      <c r="D7" s="553"/>
      <c r="E7" s="553"/>
      <c r="F7" s="187"/>
      <c r="G7" s="66"/>
      <c r="H7" s="64"/>
      <c r="I7" s="64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66"/>
      <c r="Y7" s="66"/>
      <c r="Z7" s="66"/>
      <c r="AA7" s="66"/>
      <c r="AB7" s="66"/>
      <c r="AC7" s="66"/>
      <c r="AD7" s="66"/>
      <c r="AE7" s="66"/>
      <c r="AF7" s="66"/>
      <c r="AG7" s="66"/>
      <c r="AH7" s="66"/>
      <c r="AI7" s="66"/>
      <c r="AJ7" s="66"/>
      <c r="AK7" s="66"/>
      <c r="AL7" s="66"/>
      <c r="AM7" s="66"/>
      <c r="AN7" s="50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  <c r="BO7" s="13"/>
      <c r="BP7" s="13"/>
      <c r="BQ7" s="13"/>
      <c r="BR7" s="13"/>
      <c r="BS7" s="13"/>
      <c r="BT7" s="13"/>
      <c r="BU7" s="13"/>
      <c r="BV7" s="13"/>
      <c r="BW7" s="13"/>
      <c r="BX7" s="13"/>
    </row>
    <row r="8" spans="1:76" customFormat="1" ht="23.5" x14ac:dyDescent="0.35">
      <c r="A8" s="186"/>
      <c r="B8" s="548" t="s">
        <v>82</v>
      </c>
      <c r="C8" s="548"/>
      <c r="D8" s="548"/>
      <c r="E8" s="548"/>
      <c r="F8" s="187"/>
      <c r="G8" s="66"/>
      <c r="H8" s="64"/>
      <c r="I8" s="64"/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  <c r="U8" s="66"/>
      <c r="V8" s="66"/>
      <c r="W8" s="66"/>
      <c r="X8" s="66"/>
      <c r="Y8" s="66"/>
      <c r="Z8" s="66"/>
      <c r="AA8" s="66"/>
      <c r="AB8" s="66"/>
      <c r="AC8" s="66"/>
      <c r="AD8" s="66"/>
      <c r="AE8" s="66"/>
      <c r="AF8" s="66"/>
      <c r="AG8" s="66"/>
      <c r="AH8" s="66"/>
      <c r="AI8" s="66"/>
      <c r="AJ8" s="66"/>
      <c r="AK8" s="66"/>
      <c r="AL8" s="66"/>
      <c r="AM8" s="66"/>
      <c r="AN8" s="50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  <c r="BO8" s="13"/>
      <c r="BP8" s="13"/>
      <c r="BQ8" s="13"/>
      <c r="BR8" s="13"/>
      <c r="BS8" s="13"/>
      <c r="BT8" s="13"/>
      <c r="BU8" s="13"/>
      <c r="BV8" s="13"/>
      <c r="BW8" s="13"/>
      <c r="BX8" s="13"/>
    </row>
    <row r="9" spans="1:76" s="13" customFormat="1" x14ac:dyDescent="0.35">
      <c r="A9" s="184"/>
      <c r="B9" s="184"/>
      <c r="C9" s="184"/>
      <c r="D9" s="184"/>
      <c r="E9" s="184"/>
      <c r="F9" s="184"/>
      <c r="G9" s="128"/>
      <c r="H9" s="128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  <c r="V9" s="64"/>
      <c r="W9" s="64"/>
      <c r="X9" s="64"/>
      <c r="Y9" s="64"/>
      <c r="Z9" s="64"/>
      <c r="AA9" s="64"/>
      <c r="AB9" s="64"/>
      <c r="AC9" s="64"/>
      <c r="AD9" s="64"/>
      <c r="AE9" s="64"/>
      <c r="AF9" s="64"/>
      <c r="AG9" s="64"/>
      <c r="AH9" s="64"/>
      <c r="AI9" s="64"/>
      <c r="AJ9" s="64"/>
      <c r="AK9" s="64"/>
      <c r="AL9" s="64"/>
      <c r="AM9" s="64"/>
    </row>
    <row r="10" spans="1:76" s="13" customFormat="1" x14ac:dyDescent="0.35">
      <c r="A10" s="66"/>
      <c r="B10" s="66"/>
      <c r="C10" s="66"/>
      <c r="D10" s="66"/>
      <c r="E10" s="66"/>
      <c r="F10" s="66"/>
      <c r="G10" s="128"/>
      <c r="H10" s="128"/>
      <c r="I10" s="64"/>
      <c r="J10" s="64"/>
      <c r="K10" s="64"/>
      <c r="L10" s="64"/>
      <c r="M10" s="64"/>
      <c r="N10" s="64"/>
      <c r="O10" s="64"/>
      <c r="P10" s="64"/>
      <c r="Q10" s="64"/>
      <c r="R10" s="64"/>
      <c r="S10" s="64"/>
      <c r="T10" s="64"/>
      <c r="U10" s="64"/>
      <c r="V10" s="64"/>
      <c r="W10" s="64"/>
      <c r="X10" s="64"/>
      <c r="Y10" s="64"/>
      <c r="Z10" s="64"/>
      <c r="AA10" s="64"/>
      <c r="AB10" s="64"/>
      <c r="AC10" s="64"/>
      <c r="AD10" s="64"/>
      <c r="AE10" s="64"/>
      <c r="AF10" s="64"/>
      <c r="AG10" s="64"/>
      <c r="AH10" s="64"/>
      <c r="AI10" s="64"/>
      <c r="AJ10" s="64"/>
      <c r="AK10" s="64"/>
      <c r="AL10" s="64"/>
      <c r="AM10" s="64"/>
    </row>
    <row r="11" spans="1:76" s="13" customFormat="1" ht="15.5" x14ac:dyDescent="0.35">
      <c r="A11" s="1"/>
      <c r="B11" s="61" t="s">
        <v>83</v>
      </c>
      <c r="C11" s="1"/>
      <c r="D11" s="1"/>
      <c r="E11" s="1"/>
      <c r="F11" s="1"/>
      <c r="G11" s="128"/>
      <c r="H11" s="128"/>
      <c r="I11" s="64"/>
      <c r="J11" s="64"/>
      <c r="K11" s="64"/>
      <c r="L11" s="64"/>
      <c r="M11" s="64"/>
      <c r="N11" s="64"/>
      <c r="O11" s="64"/>
      <c r="P11" s="64"/>
      <c r="Q11" s="64"/>
      <c r="R11" s="64"/>
      <c r="S11" s="64"/>
      <c r="T11" s="64"/>
      <c r="U11" s="64"/>
      <c r="V11" s="64"/>
      <c r="W11" s="64"/>
      <c r="X11" s="64"/>
      <c r="Y11" s="64"/>
      <c r="Z11" s="64"/>
      <c r="AA11" s="64"/>
      <c r="AB11" s="64"/>
      <c r="AC11" s="64"/>
      <c r="AD11" s="64"/>
      <c r="AE11" s="64"/>
      <c r="AF11" s="64"/>
      <c r="AG11" s="64"/>
      <c r="AH11" s="64"/>
      <c r="AI11" s="64"/>
      <c r="AJ11" s="64"/>
      <c r="AK11" s="64"/>
      <c r="AL11" s="64"/>
      <c r="AM11" s="64"/>
    </row>
    <row r="12" spans="1:76" s="13" customFormat="1" ht="26.5" x14ac:dyDescent="0.35">
      <c r="A12" s="1"/>
      <c r="B12" s="102" t="s">
        <v>84</v>
      </c>
      <c r="C12" s="102" t="s">
        <v>85</v>
      </c>
      <c r="D12" s="102" t="s">
        <v>86</v>
      </c>
      <c r="E12" s="102" t="s">
        <v>87</v>
      </c>
      <c r="F12" s="1"/>
      <c r="G12" s="169" t="s">
        <v>88</v>
      </c>
      <c r="H12" s="169" t="s">
        <v>89</v>
      </c>
      <c r="I12" s="115" t="s">
        <v>90</v>
      </c>
      <c r="J12" s="64"/>
      <c r="K12" s="64"/>
      <c r="L12" s="64"/>
      <c r="M12" s="64"/>
      <c r="N12" s="64"/>
      <c r="O12" s="64"/>
      <c r="P12" s="64"/>
      <c r="Q12" s="64"/>
      <c r="R12" s="64"/>
      <c r="S12" s="64"/>
      <c r="T12" s="64"/>
      <c r="U12" s="64"/>
      <c r="V12" s="64"/>
      <c r="W12" s="64"/>
      <c r="X12" s="64"/>
      <c r="Y12" s="64"/>
      <c r="Z12" s="64"/>
      <c r="AA12" s="64"/>
      <c r="AB12" s="64"/>
      <c r="AC12" s="64"/>
      <c r="AD12" s="64"/>
      <c r="AE12" s="64"/>
      <c r="AF12" s="64"/>
      <c r="AG12" s="64"/>
      <c r="AH12" s="64"/>
      <c r="AI12" s="64"/>
      <c r="AJ12" s="64"/>
      <c r="AK12" s="64"/>
      <c r="AL12" s="64"/>
      <c r="AM12" s="64"/>
    </row>
    <row r="13" spans="1:76" x14ac:dyDescent="0.35">
      <c r="B13" s="105" t="s">
        <v>91</v>
      </c>
      <c r="C13" s="509"/>
      <c r="D13" s="510"/>
      <c r="E13" s="106"/>
      <c r="G13" s="133"/>
      <c r="H13" s="134">
        <f>C13</f>
        <v>0</v>
      </c>
      <c r="I13" s="64"/>
      <c r="M13" s="64"/>
    </row>
    <row r="14" spans="1:76" x14ac:dyDescent="0.35">
      <c r="B14" s="105" t="s">
        <v>92</v>
      </c>
      <c r="C14" s="511"/>
      <c r="D14" s="510"/>
      <c r="E14" s="106"/>
      <c r="G14" s="133"/>
      <c r="H14" s="134">
        <f>C14</f>
        <v>0</v>
      </c>
      <c r="I14" s="64"/>
      <c r="M14" s="64"/>
    </row>
    <row r="15" spans="1:76" x14ac:dyDescent="0.35">
      <c r="B15" s="105" t="s">
        <v>93</v>
      </c>
      <c r="C15" s="512"/>
      <c r="D15" s="513" t="s">
        <v>94</v>
      </c>
      <c r="E15" s="309">
        <f>IF(D15="Yes",G15," ")</f>
        <v>0.66700000000000004</v>
      </c>
      <c r="G15" s="137">
        <f>Assumptions!$D$10</f>
        <v>0.66700000000000004</v>
      </c>
      <c r="H15" s="136">
        <f>IF(D15="Yes",E15,C15)</f>
        <v>0.66700000000000004</v>
      </c>
      <c r="I15" s="166">
        <f>IF(AND(D15="No",ISBLANK(C15)),1,IF(D15="Yes",IF(E15=0,1,0),0))</f>
        <v>0</v>
      </c>
      <c r="M15" s="64"/>
    </row>
    <row r="16" spans="1:76" x14ac:dyDescent="0.35">
      <c r="B16" s="105" t="s">
        <v>95</v>
      </c>
      <c r="C16" s="514"/>
      <c r="D16" s="513" t="s">
        <v>94</v>
      </c>
      <c r="E16" s="399">
        <f>IF(D16="Yes",G16," ")</f>
        <v>7.55</v>
      </c>
      <c r="G16" s="139">
        <f>Assumptions!$D$9</f>
        <v>7.55</v>
      </c>
      <c r="H16" s="139">
        <f>IF(D16="Yes",E16,C16)</f>
        <v>7.55</v>
      </c>
      <c r="I16" s="166">
        <f>IF(AND(D16="No",ISBLANK(C16)),1,IF(D16="Yes",IF(E16=0,1,0),0))</f>
        <v>0</v>
      </c>
      <c r="M16" s="64"/>
    </row>
    <row r="17" spans="1:76" x14ac:dyDescent="0.35">
      <c r="B17" s="100"/>
      <c r="C17" s="101"/>
      <c r="D17" s="101"/>
      <c r="E17" s="101"/>
      <c r="G17" s="133"/>
      <c r="H17" s="133"/>
      <c r="I17" s="64"/>
      <c r="M17" s="64"/>
    </row>
    <row r="18" spans="1:76" s="64" customFormat="1" x14ac:dyDescent="0.35">
      <c r="B18" s="103"/>
      <c r="C18" s="104"/>
      <c r="D18" s="104"/>
      <c r="E18" s="104"/>
      <c r="G18" s="133"/>
      <c r="H18" s="13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A18" s="13"/>
      <c r="BB18" s="13"/>
      <c r="BC18" s="13"/>
      <c r="BD18" s="13"/>
      <c r="BE18" s="13"/>
      <c r="BF18" s="13"/>
      <c r="BG18" s="13"/>
      <c r="BH18" s="13"/>
      <c r="BI18" s="13"/>
      <c r="BJ18" s="13"/>
      <c r="BK18" s="13"/>
      <c r="BL18" s="13"/>
      <c r="BM18" s="13"/>
      <c r="BN18" s="13"/>
      <c r="BO18" s="13"/>
      <c r="BP18" s="13"/>
      <c r="BQ18" s="13"/>
      <c r="BR18" s="13"/>
      <c r="BS18" s="13"/>
      <c r="BT18" s="13"/>
      <c r="BU18" s="13"/>
      <c r="BV18" s="13"/>
      <c r="BW18" s="13"/>
      <c r="BX18" s="13"/>
    </row>
    <row r="19" spans="1:76" ht="15.5" x14ac:dyDescent="0.35">
      <c r="B19" s="61" t="s">
        <v>96</v>
      </c>
      <c r="G19" s="133"/>
      <c r="H19" s="133"/>
      <c r="I19" s="64"/>
      <c r="M19" s="64"/>
    </row>
    <row r="20" spans="1:76" x14ac:dyDescent="0.35">
      <c r="B20" s="102" t="s">
        <v>84</v>
      </c>
      <c r="C20" s="102" t="s">
        <v>85</v>
      </c>
      <c r="G20" s="133"/>
      <c r="H20" s="133"/>
      <c r="I20" s="64"/>
      <c r="M20" s="64"/>
    </row>
    <row r="21" spans="1:76" x14ac:dyDescent="0.35">
      <c r="B21" s="105" t="s">
        <v>97</v>
      </c>
      <c r="C21" s="109">
        <f>Assumptions!$D$11</f>
        <v>1.32</v>
      </c>
      <c r="G21" s="135"/>
      <c r="H21" s="139">
        <f>C21</f>
        <v>1.32</v>
      </c>
      <c r="I21" s="166"/>
      <c r="M21" s="64"/>
    </row>
    <row r="22" spans="1:76" x14ac:dyDescent="0.35">
      <c r="B22" s="105" t="s">
        <v>98</v>
      </c>
      <c r="C22" s="416">
        <f>H14*H15/H21</f>
        <v>0</v>
      </c>
      <c r="G22" s="135"/>
      <c r="H22" s="134">
        <f>C22</f>
        <v>0</v>
      </c>
      <c r="I22" s="166"/>
      <c r="M22" s="64"/>
    </row>
    <row r="23" spans="1:76" x14ac:dyDescent="0.35">
      <c r="B23" s="44"/>
      <c r="C23" s="62"/>
      <c r="G23" s="133"/>
      <c r="H23" s="133"/>
      <c r="I23" s="64"/>
      <c r="M23" s="64"/>
    </row>
    <row r="24" spans="1:76" x14ac:dyDescent="0.35">
      <c r="A24" s="64"/>
      <c r="B24" s="64"/>
      <c r="C24" s="64"/>
      <c r="D24" s="64"/>
      <c r="E24" s="64"/>
      <c r="F24" s="64"/>
      <c r="G24" s="133"/>
      <c r="H24" s="133"/>
      <c r="I24" s="64"/>
      <c r="M24" s="64"/>
    </row>
    <row r="25" spans="1:76" s="64" customFormat="1" ht="15.5" x14ac:dyDescent="0.35">
      <c r="A25" s="1"/>
      <c r="B25" s="61" t="s">
        <v>99</v>
      </c>
      <c r="C25" s="1"/>
      <c r="D25" s="1"/>
      <c r="E25" s="1"/>
      <c r="F25" s="1"/>
      <c r="G25" s="133"/>
      <c r="H25" s="133"/>
      <c r="AN25" s="13"/>
      <c r="AO25" s="13"/>
      <c r="AP25" s="13"/>
      <c r="AQ25" s="13"/>
      <c r="AR25" s="13"/>
      <c r="AS25" s="13"/>
      <c r="AT25" s="13"/>
      <c r="AU25" s="13"/>
      <c r="AV25" s="13"/>
      <c r="AW25" s="13"/>
      <c r="AX25" s="13"/>
      <c r="AY25" s="13"/>
      <c r="AZ25" s="13"/>
      <c r="BA25" s="13"/>
      <c r="BB25" s="13"/>
      <c r="BC25" s="13"/>
      <c r="BD25" s="13"/>
      <c r="BE25" s="13"/>
      <c r="BF25" s="13"/>
      <c r="BG25" s="13"/>
      <c r="BH25" s="13"/>
      <c r="BI25" s="13"/>
      <c r="BJ25" s="13"/>
      <c r="BK25" s="13"/>
      <c r="BL25" s="13"/>
      <c r="BM25" s="13"/>
      <c r="BN25" s="13"/>
      <c r="BO25" s="13"/>
      <c r="BP25" s="13"/>
      <c r="BQ25" s="13"/>
      <c r="BR25" s="13"/>
      <c r="BS25" s="13"/>
      <c r="BT25" s="13"/>
      <c r="BU25" s="13"/>
      <c r="BV25" s="13"/>
      <c r="BW25" s="13"/>
      <c r="BX25" s="13"/>
    </row>
    <row r="26" spans="1:76" s="12" customFormat="1" x14ac:dyDescent="0.35">
      <c r="A26" s="1"/>
      <c r="B26" s="1"/>
      <c r="C26" s="1"/>
      <c r="D26" s="1"/>
      <c r="E26" s="1"/>
      <c r="F26" s="1"/>
      <c r="G26" s="133"/>
      <c r="H26" s="133"/>
      <c r="I26" s="64"/>
      <c r="J26" s="64"/>
      <c r="K26" s="64"/>
      <c r="L26" s="64"/>
      <c r="M26" s="64"/>
      <c r="N26" s="64"/>
      <c r="O26" s="64"/>
      <c r="P26" s="64"/>
      <c r="Q26" s="64"/>
      <c r="R26" s="64"/>
      <c r="S26" s="64"/>
      <c r="T26" s="64"/>
      <c r="U26" s="64"/>
      <c r="V26" s="64"/>
      <c r="W26" s="64"/>
      <c r="X26" s="64"/>
      <c r="Y26" s="64"/>
      <c r="Z26" s="64"/>
      <c r="AA26" s="64"/>
      <c r="AB26" s="64"/>
      <c r="AC26" s="64"/>
      <c r="AD26" s="64"/>
      <c r="AE26" s="64"/>
      <c r="AF26" s="64"/>
      <c r="AG26" s="64"/>
      <c r="AH26" s="64"/>
      <c r="AI26" s="64"/>
      <c r="AJ26" s="64"/>
      <c r="AK26" s="64"/>
      <c r="AL26" s="64"/>
      <c r="AM26" s="64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3"/>
      <c r="BA26" s="13"/>
      <c r="BB26" s="13"/>
      <c r="BC26" s="13"/>
      <c r="BD26" s="13"/>
      <c r="BE26" s="13"/>
      <c r="BF26" s="13"/>
      <c r="BG26" s="13"/>
      <c r="BH26" s="13"/>
      <c r="BI26" s="13"/>
      <c r="BJ26" s="13"/>
      <c r="BK26" s="13"/>
      <c r="BL26" s="13"/>
      <c r="BM26" s="13"/>
      <c r="BN26" s="13"/>
      <c r="BO26" s="13"/>
      <c r="BP26" s="13"/>
      <c r="BQ26" s="13"/>
      <c r="BR26" s="13"/>
      <c r="BS26" s="13"/>
      <c r="BT26" s="13"/>
      <c r="BU26" s="13"/>
      <c r="BV26" s="13"/>
      <c r="BW26" s="13"/>
      <c r="BX26" s="13"/>
    </row>
    <row r="27" spans="1:76" s="12" customFormat="1" ht="26.5" x14ac:dyDescent="0.35">
      <c r="A27" s="1"/>
      <c r="B27" s="102" t="s">
        <v>84</v>
      </c>
      <c r="C27" s="102" t="s">
        <v>85</v>
      </c>
      <c r="D27" s="1"/>
      <c r="E27" s="1"/>
      <c r="F27" s="1"/>
      <c r="G27" s="133"/>
      <c r="H27" s="133"/>
      <c r="I27" s="64"/>
      <c r="J27" s="64"/>
      <c r="K27" s="56" t="s">
        <v>100</v>
      </c>
      <c r="L27" s="57" t="s">
        <v>101</v>
      </c>
      <c r="M27" s="57" t="s">
        <v>102</v>
      </c>
      <c r="N27" s="57" t="s">
        <v>103</v>
      </c>
      <c r="O27" s="58">
        <v>2018</v>
      </c>
      <c r="P27" s="59">
        <v>2030</v>
      </c>
      <c r="Q27" s="59">
        <v>2040</v>
      </c>
      <c r="R27" s="64"/>
      <c r="S27" s="64"/>
      <c r="T27" s="64"/>
      <c r="U27" s="64"/>
      <c r="V27" s="64"/>
      <c r="W27" s="64"/>
      <c r="X27" s="64"/>
      <c r="Y27" s="64"/>
      <c r="Z27" s="64"/>
      <c r="AA27" s="64"/>
      <c r="AB27" s="64"/>
      <c r="AC27" s="64"/>
      <c r="AD27" s="64"/>
      <c r="AE27" s="64"/>
      <c r="AF27" s="64"/>
      <c r="AG27" s="64"/>
      <c r="AH27" s="64"/>
      <c r="AI27" s="64"/>
      <c r="AJ27" s="64"/>
      <c r="AK27" s="64"/>
      <c r="AL27" s="64"/>
      <c r="AM27" s="64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  <c r="BM27" s="13"/>
      <c r="BN27" s="13"/>
      <c r="BO27" s="13"/>
      <c r="BP27" s="13"/>
      <c r="BQ27" s="13"/>
      <c r="BR27" s="13"/>
      <c r="BS27" s="13"/>
      <c r="BT27" s="13"/>
      <c r="BU27" s="13"/>
      <c r="BV27" s="13"/>
      <c r="BW27" s="13"/>
      <c r="BX27" s="13"/>
    </row>
    <row r="28" spans="1:76" s="12" customFormat="1" x14ac:dyDescent="0.35">
      <c r="A28" s="1"/>
      <c r="B28" s="105" t="s">
        <v>104</v>
      </c>
      <c r="C28" s="108">
        <f>IF($H$13&lt;2030,FORECAST($H$13,O28:P28,$O$27:$P$27),FORECAST($H$13,P28:Q28,$P$27:$Q$27))</f>
        <v>14163.40716666667</v>
      </c>
      <c r="D28" s="1"/>
      <c r="E28" s="1"/>
      <c r="F28" s="1"/>
      <c r="G28" s="133"/>
      <c r="H28" s="139">
        <f>C28</f>
        <v>14163.40716666667</v>
      </c>
      <c r="I28" s="64"/>
      <c r="J28" s="64"/>
      <c r="K28" s="53" t="s">
        <v>105</v>
      </c>
      <c r="L28" s="54" t="s">
        <v>106</v>
      </c>
      <c r="M28" s="98">
        <v>35</v>
      </c>
      <c r="N28" s="54" t="s">
        <v>107</v>
      </c>
      <c r="O28" s="55">
        <f>IF(L28="CO2eq",VLOOKUP(M28,'Emission Factors'!$G$3:$J$18,MATCH(K28,'Emission Factors'!$G$2:$J$2,0),0),IF(L28="CO",VLOOKUP($M28,'Emission Factors'!$G$19:$J$34,MATCH(K28,'Emission Factors'!$G$2:$J$2,0),0),IF(L28="PM2.5",VLOOKUP(M28,'Emission Factors'!$G$35:$J$50,MATCH(K28,'Emission Factors'!$G$2:$J$2,0),0),IF(L28="NOx",VLOOKUP(M28,'Emission Factors'!$G$51:$J$66,MATCH(K28,'Emission Factors'!$G$2:$J$2,0),0),VLOOKUP(M28,'Emission Factors'!$G$67:$J$82,MATCH(K28,'Emission Factors'!$G$2:$J$2,0),0)))))</f>
        <v>345.99299999999999</v>
      </c>
      <c r="P28" s="155">
        <f>IF($L28="CO2eq",VLOOKUP($M28,'Emission Factors'!$G$88:$J$103,MATCH($K28,'Emission Factors'!$G$87:$J$87,0),0),IF(L28="CO",VLOOKUP($M28,'Emission Factors'!$G$104:$J$119,MATCH(K28,'Emission Factors'!$G$2:$J$2,0),0),IF(L28="PM2.5",VLOOKUP(M28,'Emission Factors'!$G$120:$J$135,MATCH(K28,'Emission Factors'!$G$2:$J$2,0),0),IF(L28="NOx",VLOOKUP(M28,'Emission Factors'!$G$136:$J$151,MATCH(K28,'Emission Factors'!$G$2:$J$2,0),0),VLOOKUP(M28,'Emission Factors'!$G$152:$J$167,MATCH(K28,'Emission Factors'!$G$2:$J$2,0),0)))))</f>
        <v>263.82799999999997</v>
      </c>
      <c r="Q28" s="479">
        <f>IF($L28="CO2eq",VLOOKUP($M28, 'Emission Factors'!G171:J186,MATCH($K28,'Emission Factors'!$G$2:$J$2,0),0),IF(L28="CO",VLOOKUP($M28, 'Emission Factors'!$G$189:$J$204,MATCH(K28,'Emission Factors'!$G$2:$J$2,0),0),IF(L28="PM2.5",VLOOKUP(M28, 'Emission Factors'!$G$205:$J$220,MATCH(K28,'Emission Factors'!$G$2:$J$2,0),0),IF(L28="NOx",VLOOKUP(M28, 'Emission Factors'!$G$221:$J$236,MATCH(K28,'Emission Factors'!$G$2:$J$2,0),0),VLOOKUP(M28, 'Emission Factors'!$G$237:$J$252,MATCH(K28,'Emission Factors'!$G$2:$J$2,0),0)))))</f>
        <v>238.08</v>
      </c>
      <c r="R28" s="64"/>
      <c r="S28" s="64"/>
      <c r="T28" s="64"/>
      <c r="U28" s="64"/>
      <c r="V28" s="64"/>
      <c r="W28" s="64"/>
      <c r="X28" s="64"/>
      <c r="Y28" s="64"/>
      <c r="Z28" s="64"/>
      <c r="AA28" s="64"/>
      <c r="AB28" s="64"/>
      <c r="AC28" s="64"/>
      <c r="AD28" s="64"/>
      <c r="AE28" s="64"/>
      <c r="AF28" s="64"/>
      <c r="AG28" s="64"/>
      <c r="AH28" s="64"/>
      <c r="AI28" s="64"/>
      <c r="AJ28" s="64"/>
      <c r="AK28" s="64"/>
      <c r="AL28" s="64"/>
      <c r="AM28" s="64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A28" s="13"/>
      <c r="BB28" s="13"/>
      <c r="BC28" s="13"/>
      <c r="BD28" s="13"/>
      <c r="BE28" s="13"/>
      <c r="BF28" s="13"/>
      <c r="BG28" s="13"/>
      <c r="BH28" s="13"/>
      <c r="BI28" s="13"/>
      <c r="BJ28" s="13"/>
      <c r="BK28" s="13"/>
      <c r="BL28" s="13"/>
      <c r="BM28" s="13"/>
      <c r="BN28" s="13"/>
      <c r="BO28" s="13"/>
      <c r="BP28" s="13"/>
      <c r="BQ28" s="13"/>
      <c r="BR28" s="13"/>
      <c r="BS28" s="13"/>
      <c r="BT28" s="13"/>
      <c r="BU28" s="13"/>
      <c r="BV28" s="13"/>
      <c r="BW28" s="13"/>
      <c r="BX28" s="13"/>
    </row>
    <row r="29" spans="1:76" s="12" customFormat="1" x14ac:dyDescent="0.35">
      <c r="A29" s="1"/>
      <c r="B29" s="105" t="s">
        <v>108</v>
      </c>
      <c r="C29" s="108">
        <f t="shared" ref="C29:C32" si="0">IF($H$13&lt;2030,FORECAST($H$13,O29:P29,$O$27:$P$27),FORECAST($H$13,P29:Q29,$P$27:$Q$27))</f>
        <v>248.39519333333331</v>
      </c>
      <c r="D29" s="1"/>
      <c r="E29" s="1"/>
      <c r="F29" s="1"/>
      <c r="G29" s="133"/>
      <c r="H29" s="139">
        <f t="shared" ref="H29:H32" si="1">C29</f>
        <v>248.39519333333331</v>
      </c>
      <c r="I29" s="64"/>
      <c r="J29" s="64"/>
      <c r="K29" s="48" t="s">
        <v>105</v>
      </c>
      <c r="L29" s="45" t="s">
        <v>109</v>
      </c>
      <c r="M29" s="99">
        <v>35</v>
      </c>
      <c r="N29" s="45" t="s">
        <v>107</v>
      </c>
      <c r="O29" s="46">
        <f>IF($L29="CO2eq",VLOOKUP($M29,'Emission Factors'!$G$3:$J$18,MATCH($K29,'Emission Factors'!$G$2:$J$2,0),0),IF(L29="CO",VLOOKUP($M29,'Emission Factors'!$G$19:$J$34,MATCH(K29,'Emission Factors'!$G$2:$J$2,0),0),IF(L29="PM2.5",VLOOKUP(M29,'Emission Factors'!$G$35:$J$50,MATCH(K29,'Emission Factors'!$G$2:$J$2,0),0),IF(L29="NOx",VLOOKUP(M29,'Emission Factors'!$G$51:$J$66,MATCH(K29,'Emission Factors'!$G$2:$J$2,0),0),VLOOKUP(M29,'Emission Factors'!$G$67:$J$82,MATCH(K29,'Emission Factors'!$G$2:$J$2,0),0)))))</f>
        <v>2.8012299999999999</v>
      </c>
      <c r="P29" s="156">
        <f>IF($L29="CO2eq",VLOOKUP($M29,'Emission Factors'!$G$88:$J$103,MATCH($K29,'Emission Factors'!$G$87:$J$87,0),0),IF(L29="CO",VLOOKUP($M29,'Emission Factors'!$G$104:$J$119,MATCH(K29,'Emission Factors'!$G$2:$J$2,0),0),IF(L29="PM2.5",VLOOKUP(M29,'Emission Factors'!$G$120:$J$135,MATCH(K29,'Emission Factors'!$G$2:$J$2,0),0),IF(L29="NOx",VLOOKUP(M29,'Emission Factors'!$G$136:$J$151,MATCH(K29,'Emission Factors'!$G$2:$J$2,0),0),VLOOKUP(M29,'Emission Factors'!$G$152:$J$167,MATCH(K29,'Emission Factors'!$G$2:$J$2,0),0)))))</f>
        <v>1.3408100000000001</v>
      </c>
      <c r="Q29" s="480">
        <f>IF($L29="CO2eq",VLOOKUP($M29, 'Emission Factors'!G172:J187,MATCH($K29,'Emission Factors'!$G$2:$J$2,0),0),IF(L29="CO",VLOOKUP($M29, 'Emission Factors'!$G$189:$J$204,MATCH(K29,'Emission Factors'!$G$2:$J$2,0),0),IF(L29="PM2.5",VLOOKUP(M29, 'Emission Factors'!$G$205:$J$220,MATCH(K29,'Emission Factors'!$G$2:$J$2,0),0),IF(L29="NOx",VLOOKUP(M29, 'Emission Factors'!$G$221:$J$236,MATCH(K29,'Emission Factors'!$G$2:$J$2,0),0),VLOOKUP(M29, 'Emission Factors'!$G$237:$J$252,MATCH(K29,'Emission Factors'!$G$2:$J$2,0),0)))))</f>
        <v>0.96630300000000002</v>
      </c>
      <c r="R29" s="64"/>
      <c r="S29" s="64"/>
      <c r="T29" s="64"/>
      <c r="U29" s="64"/>
      <c r="V29" s="64"/>
      <c r="W29" s="64"/>
      <c r="X29" s="64"/>
      <c r="Y29" s="64"/>
      <c r="Z29" s="64"/>
      <c r="AA29" s="64"/>
      <c r="AB29" s="64"/>
      <c r="AC29" s="64"/>
      <c r="AD29" s="64"/>
      <c r="AE29" s="64"/>
      <c r="AF29" s="64"/>
      <c r="AG29" s="64"/>
      <c r="AH29" s="64"/>
      <c r="AI29" s="64"/>
      <c r="AJ29" s="64"/>
      <c r="AK29" s="64"/>
      <c r="AL29" s="64"/>
      <c r="AM29" s="64"/>
      <c r="AN29" s="13"/>
      <c r="AO29" s="13"/>
      <c r="AP29" s="13"/>
      <c r="AQ29" s="13"/>
      <c r="AR29" s="13"/>
      <c r="AS29" s="13"/>
      <c r="AT29" s="13"/>
      <c r="AU29" s="13"/>
      <c r="AV29" s="13"/>
      <c r="AW29" s="13"/>
      <c r="AX29" s="13"/>
      <c r="AY29" s="13"/>
      <c r="AZ29" s="13"/>
      <c r="BA29" s="13"/>
      <c r="BB29" s="13"/>
      <c r="BC29" s="13"/>
      <c r="BD29" s="13"/>
      <c r="BE29" s="13"/>
      <c r="BF29" s="13"/>
      <c r="BG29" s="13"/>
      <c r="BH29" s="13"/>
      <c r="BI29" s="13"/>
      <c r="BJ29" s="13"/>
      <c r="BK29" s="13"/>
      <c r="BL29" s="13"/>
      <c r="BM29" s="13"/>
      <c r="BN29" s="13"/>
      <c r="BO29" s="13"/>
      <c r="BP29" s="13"/>
      <c r="BQ29" s="13"/>
      <c r="BR29" s="13"/>
      <c r="BS29" s="13"/>
      <c r="BT29" s="13"/>
      <c r="BU29" s="13"/>
      <c r="BV29" s="13"/>
      <c r="BW29" s="13"/>
      <c r="BX29" s="13"/>
    </row>
    <row r="30" spans="1:76" s="12" customFormat="1" x14ac:dyDescent="0.35">
      <c r="A30" s="1"/>
      <c r="B30" s="105" t="s">
        <v>110</v>
      </c>
      <c r="C30" s="108">
        <f t="shared" si="0"/>
        <v>0.41422921833333326</v>
      </c>
      <c r="D30" s="1"/>
      <c r="E30" s="1"/>
      <c r="F30" s="1"/>
      <c r="G30" s="133"/>
      <c r="H30" s="139">
        <f t="shared" si="1"/>
        <v>0.41422921833333326</v>
      </c>
      <c r="I30" s="64"/>
      <c r="J30" s="64"/>
      <c r="K30" s="48" t="s">
        <v>105</v>
      </c>
      <c r="L30" s="45" t="s">
        <v>111</v>
      </c>
      <c r="M30" s="99">
        <v>35</v>
      </c>
      <c r="N30" s="45" t="s">
        <v>107</v>
      </c>
      <c r="O30" s="46">
        <f>IF($L30="CO2eq",VLOOKUP($M30,'Emission Factors'!$G$3:$J$18,MATCH($K30,'Emission Factors'!$G$2:$J$2,0),0),IF(L30="CO",VLOOKUP($M30,'Emission Factors'!$G$19:$J$34,MATCH(K30,'Emission Factors'!$G$2:$J$2,0),0),IF(L30="PM2.5",VLOOKUP(M30,'Emission Factors'!$G$35:$J$50,MATCH(K30,'Emission Factors'!$G$2:$J$2,0),0),IF(L30="NOx",VLOOKUP(M30,'Emission Factors'!$G$51:$J$66,MATCH(K30,'Emission Factors'!$G$2:$J$2,0),0),VLOOKUP(M30,'Emission Factors'!$G$67:$J$82,MATCH(K30,'Emission Factors'!$G$2:$J$2,0),0)))))</f>
        <v>3.88069E-3</v>
      </c>
      <c r="P30" s="156">
        <f>IF($L30="CO2eq",VLOOKUP($M30,'Emission Factors'!$G$88:$J$103,MATCH($K30,'Emission Factors'!$G$87:$J$87,0),0),IF(L30="CO",VLOOKUP($M30,'Emission Factors'!$G$104:$J$119,MATCH(K30,'Emission Factors'!$G$2:$J$2,0),0),IF(L30="PM2.5",VLOOKUP(M30,'Emission Factors'!$G$120:$J$135,MATCH(K30,'Emission Factors'!$G$2:$J$2,0),0),IF(L30="NOx",VLOOKUP(M30,'Emission Factors'!$G$136:$J$151,MATCH(K30,'Emission Factors'!$G$2:$J$2,0),0),VLOOKUP(M30,'Emission Factors'!$G$152:$J$167,MATCH(K30,'Emission Factors'!$G$2:$J$2,0),0)))))</f>
        <v>1.44056E-3</v>
      </c>
      <c r="Q30" s="480">
        <f>IF($L30="CO2eq",VLOOKUP($M30, 'Emission Factors'!G173:J188,MATCH($K30,'Emission Factors'!$G$2:$J$2,0),0),IF(L30="CO",VLOOKUP($M30, 'Emission Factors'!$G$189:$J$204,MATCH(K30,'Emission Factors'!$G$2:$J$2,0),0),IF(L30="PM2.5",VLOOKUP(M30, 'Emission Factors'!$G$205:$J$220,MATCH(K30,'Emission Factors'!$G$2:$J$2,0),0),IF(L30="NOx",VLOOKUP(M30, 'Emission Factors'!$G$221:$J$236,MATCH(K30,'Emission Factors'!$G$2:$J$2,0),0),VLOOKUP(M30, 'Emission Factors'!$G$237:$J$252,MATCH(K30,'Emission Factors'!$G$2:$J$2,0),0)))))</f>
        <v>1.0138199999999999E-3</v>
      </c>
      <c r="R30" s="64"/>
      <c r="S30" s="64"/>
      <c r="T30" s="64"/>
      <c r="U30" s="64"/>
      <c r="V30" s="64"/>
      <c r="W30" s="64"/>
      <c r="X30" s="64"/>
      <c r="Y30" s="64"/>
      <c r="Z30" s="64"/>
      <c r="AA30" s="64"/>
      <c r="AB30" s="64"/>
      <c r="AC30" s="64"/>
      <c r="AD30" s="64"/>
      <c r="AE30" s="64"/>
      <c r="AF30" s="64"/>
      <c r="AG30" s="64"/>
      <c r="AH30" s="64"/>
      <c r="AI30" s="64"/>
      <c r="AJ30" s="64"/>
      <c r="AK30" s="64"/>
      <c r="AL30" s="64"/>
      <c r="AM30" s="64"/>
      <c r="AN30" s="13"/>
      <c r="AO30" s="13"/>
      <c r="AP30" s="13"/>
      <c r="AQ30" s="13"/>
      <c r="AR30" s="13"/>
      <c r="AS30" s="13"/>
      <c r="AT30" s="13"/>
      <c r="AU30" s="13"/>
      <c r="AV30" s="13"/>
      <c r="AW30" s="13"/>
      <c r="AX30" s="13"/>
      <c r="AY30" s="13"/>
      <c r="AZ30" s="13"/>
      <c r="BA30" s="13"/>
      <c r="BB30" s="13"/>
      <c r="BC30" s="13"/>
      <c r="BD30" s="13"/>
      <c r="BE30" s="13"/>
      <c r="BF30" s="13"/>
      <c r="BG30" s="13"/>
      <c r="BH30" s="13"/>
      <c r="BI30" s="13"/>
      <c r="BJ30" s="13"/>
      <c r="BK30" s="13"/>
      <c r="BL30" s="13"/>
      <c r="BM30" s="13"/>
      <c r="BN30" s="13"/>
      <c r="BO30" s="13"/>
      <c r="BP30" s="13"/>
      <c r="BQ30" s="13"/>
      <c r="BR30" s="13"/>
      <c r="BS30" s="13"/>
      <c r="BT30" s="13"/>
      <c r="BU30" s="13"/>
      <c r="BV30" s="13"/>
      <c r="BW30" s="13"/>
      <c r="BX30" s="13"/>
    </row>
    <row r="31" spans="1:76" s="12" customFormat="1" x14ac:dyDescent="0.35">
      <c r="A31" s="1"/>
      <c r="B31" s="105" t="s">
        <v>112</v>
      </c>
      <c r="C31" s="108">
        <f t="shared" si="0"/>
        <v>41.369416749999992</v>
      </c>
      <c r="D31" s="1"/>
      <c r="E31" s="1"/>
      <c r="F31" s="1"/>
      <c r="G31" s="133"/>
      <c r="H31" s="139">
        <f t="shared" si="1"/>
        <v>41.369416749999992</v>
      </c>
      <c r="I31" s="64"/>
      <c r="J31" s="64"/>
      <c r="K31" s="48" t="s">
        <v>105</v>
      </c>
      <c r="L31" s="45" t="s">
        <v>113</v>
      </c>
      <c r="M31" s="99">
        <v>35</v>
      </c>
      <c r="N31" s="45" t="s">
        <v>107</v>
      </c>
      <c r="O31" s="46">
        <f>IF($L31="CO2eq",VLOOKUP($M31,'Emission Factors'!$G$3:$J$18,MATCH($K31,'Emission Factors'!$G$2:$J$2,0),0),IF(L31="CO",VLOOKUP($M31,'Emission Factors'!$G$19:$J$34,MATCH(K31,'Emission Factors'!$G$2:$J$2,0),0),IF(L31="PM2.5",VLOOKUP(M31,'Emission Factors'!$G$35:$J$50,MATCH(K31,'Emission Factors'!$G$2:$J$2,0),0),IF(L31="NOx",VLOOKUP(M31,'Emission Factors'!$G$51:$J$66,MATCH(K31,'Emission Factors'!$G$2:$J$2,0),0),VLOOKUP(M31,'Emission Factors'!$G$67:$J$82,MATCH(K31,'Emission Factors'!$G$2:$J$2,0),0)))))</f>
        <v>0.31547700000000001</v>
      </c>
      <c r="P31" s="156">
        <f>IF($L31="CO2eq",VLOOKUP($M31,'Emission Factors'!$G$88:$J$103,MATCH($K31,'Emission Factors'!$G$87:$J$87,0),0),IF(L31="CO",VLOOKUP($M31,'Emission Factors'!$G$104:$J$119,MATCH(K31,'Emission Factors'!$G$2:$J$2,0),0),IF(L31="PM2.5",VLOOKUP(M31,'Emission Factors'!$G$120:$J$135,MATCH(K31,'Emission Factors'!$G$2:$J$2,0),0),IF(L31="NOx",VLOOKUP(M31,'Emission Factors'!$G$136:$J$151,MATCH(K31,'Emission Factors'!$G$2:$J$2,0),0),VLOOKUP(M31,'Emission Factors'!$G$152:$J$167,MATCH(K31,'Emission Factors'!$G$2:$J$2,0),0)))))</f>
        <v>7.1350499999999997E-2</v>
      </c>
      <c r="Q31" s="480">
        <f>IF($L31="CO2eq",VLOOKUP($M31, 'Emission Factors'!G174:J189,MATCH($K31,'Emission Factors'!$G$2:$J$2,0),0),IF(L31="CO",VLOOKUP($M31, 'Emission Factors'!$G$189:$J$204,MATCH(K31,'Emission Factors'!$G$2:$J$2,0),0),IF(L31="PM2.5",VLOOKUP(M31, 'Emission Factors'!$G$205:$J$220,MATCH(K31,'Emission Factors'!$G$2:$J$2,0),0),IF(L31="NOx",VLOOKUP(M31, 'Emission Factors'!$G$221:$J$236,MATCH(K31,'Emission Factors'!$G$2:$J$2,0),0),VLOOKUP(M31, 'Emission Factors'!$G$237:$J$252,MATCH(K31,'Emission Factors'!$G$2:$J$2,0),0)))))</f>
        <v>1.9481600000000002E-2</v>
      </c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13"/>
      <c r="AY31" s="13"/>
      <c r="AZ31" s="13"/>
      <c r="BA31" s="13"/>
      <c r="BB31" s="13"/>
      <c r="BC31" s="13"/>
      <c r="BD31" s="13"/>
      <c r="BE31" s="13"/>
      <c r="BF31" s="13"/>
      <c r="BG31" s="13"/>
      <c r="BH31" s="13"/>
      <c r="BI31" s="13"/>
      <c r="BJ31" s="13"/>
      <c r="BK31" s="13"/>
      <c r="BL31" s="13"/>
      <c r="BM31" s="13"/>
      <c r="BN31" s="13"/>
      <c r="BO31" s="13"/>
      <c r="BP31" s="13"/>
      <c r="BQ31" s="13"/>
      <c r="BR31" s="13"/>
      <c r="BS31" s="13"/>
      <c r="BT31" s="13"/>
      <c r="BU31" s="13"/>
      <c r="BV31" s="13"/>
      <c r="BW31" s="13"/>
      <c r="BX31" s="13"/>
    </row>
    <row r="32" spans="1:76" s="12" customFormat="1" x14ac:dyDescent="0.35">
      <c r="A32" s="1"/>
      <c r="B32" s="105" t="s">
        <v>114</v>
      </c>
      <c r="C32" s="108">
        <f t="shared" si="0"/>
        <v>8.1845177833333356</v>
      </c>
      <c r="D32" s="1"/>
      <c r="E32" s="1"/>
      <c r="F32" s="1"/>
      <c r="G32" s="133"/>
      <c r="H32" s="139">
        <f t="shared" si="1"/>
        <v>8.1845177833333356</v>
      </c>
      <c r="I32" s="64"/>
      <c r="J32" s="64"/>
      <c r="K32" s="49" t="s">
        <v>105</v>
      </c>
      <c r="L32" s="50" t="s">
        <v>115</v>
      </c>
      <c r="M32" s="51">
        <v>35</v>
      </c>
      <c r="N32" s="50" t="s">
        <v>107</v>
      </c>
      <c r="O32" s="52">
        <f>IF($L32="CO2eq",VLOOKUP($M32,'Emission Factors'!$G$3:$J$18,MATCH($K32,'Emission Factors'!$G$2:$J$2,0),0),IF(L32="CO",VLOOKUP($M32,'Emission Factors'!$G$19:$J$34,MATCH(K32,'Emission Factors'!$G$2:$J$2,0),0),IF(L32="PM2.5",VLOOKUP(M32,'Emission Factors'!$G$35:$J$50,MATCH(K32,'Emission Factors'!$G$2:$J$2,0),0),IF(L32="NOx",VLOOKUP(M32,'Emission Factors'!$G$51:$J$66,MATCH(K32,'Emission Factors'!$G$2:$J$2,0),0),VLOOKUP(M32,'Emission Factors'!$G$67:$J$82,MATCH(K32,'Emission Factors'!$G$2:$J$2,0),0)))))</f>
        <v>6.5010700000000005E-2</v>
      </c>
      <c r="P32" s="157">
        <f>IF($L32="CO2eq",VLOOKUP($M32,'Emission Factors'!$G$88:$J$103,MATCH($K32,'Emission Factors'!$G$87:$J$87,0),0),IF(L32="CO",VLOOKUP($M32,'Emission Factors'!$G$104:$J$119,MATCH(K32,'Emission Factors'!$G$2:$J$2,0),0),IF(L32="PM2.5",VLOOKUP(M32,'Emission Factors'!$G$120:$J$135,MATCH(K32,'Emission Factors'!$G$2:$J$2,0),0),IF(L32="NOx",VLOOKUP(M32,'Emission Factors'!$G$136:$J$151,MATCH(K32,'Emission Factors'!$G$2:$J$2,0),0),VLOOKUP(M32,'Emission Factors'!$G$152:$J$167,MATCH(K32,'Emission Factors'!$G$2:$J$2,0),0)))))</f>
        <v>1.6728199999999999E-2</v>
      </c>
      <c r="Q32" s="481">
        <f>IF($L32="CO2eq",VLOOKUP($M32, 'Emission Factors'!G175:J190,MATCH($K32,'Emission Factors'!$G$2:$J$2,0),0),IF(L32="CO",VLOOKUP($M32, 'Emission Factors'!$G$189:$J$204,MATCH(K32,'Emission Factors'!$G$2:$J$2,0),0),IF(L32="PM2.5",VLOOKUP(M32, 'Emission Factors'!$G$205:$J$220,MATCH(K32,'Emission Factors'!$G$2:$J$2,0),0),IF(L32="NOx",VLOOKUP(M32, 'Emission Factors'!$G$221:$J$236,MATCH(K32,'Emission Factors'!$G$2:$J$2,0),0),VLOOKUP(M32, 'Emission Factors'!$G$237:$J$252,MATCH(K32,'Emission Factors'!$G$2:$J$2,0),0)))))</f>
        <v>1.1268800000000001E-2</v>
      </c>
      <c r="R32" s="64"/>
      <c r="S32" s="64"/>
      <c r="T32" s="64"/>
      <c r="U32" s="64"/>
      <c r="V32" s="64"/>
      <c r="W32" s="64"/>
      <c r="X32" s="64"/>
      <c r="Y32" s="64"/>
      <c r="Z32" s="64"/>
      <c r="AA32" s="64"/>
      <c r="AB32" s="64"/>
      <c r="AC32" s="64"/>
      <c r="AD32" s="64"/>
      <c r="AE32" s="64"/>
      <c r="AF32" s="64"/>
      <c r="AG32" s="64"/>
      <c r="AH32" s="64"/>
      <c r="AI32" s="64"/>
      <c r="AJ32" s="64"/>
      <c r="AK32" s="64"/>
      <c r="AL32" s="64"/>
      <c r="AM32" s="64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  <c r="BM32" s="13"/>
      <c r="BN32" s="13"/>
      <c r="BO32" s="13"/>
      <c r="BP32" s="13"/>
      <c r="BQ32" s="13"/>
      <c r="BR32" s="13"/>
      <c r="BS32" s="13"/>
      <c r="BT32" s="13"/>
      <c r="BU32" s="13"/>
      <c r="BV32" s="13"/>
      <c r="BW32" s="13"/>
      <c r="BX32" s="13"/>
    </row>
    <row r="33" spans="1:76" s="12" customFormat="1" x14ac:dyDescent="0.35">
      <c r="A33" s="1"/>
      <c r="B33" s="1"/>
      <c r="C33" s="1"/>
      <c r="D33" s="1"/>
      <c r="E33" s="1"/>
      <c r="F33" s="1"/>
      <c r="G33" s="133"/>
      <c r="H33" s="133"/>
      <c r="I33" s="64"/>
      <c r="J33" s="64"/>
      <c r="K33" s="64"/>
      <c r="L33" s="64"/>
      <c r="M33" s="64"/>
      <c r="N33" s="64"/>
      <c r="O33" s="64"/>
      <c r="P33" s="64"/>
      <c r="Q33" s="64"/>
      <c r="R33" s="64"/>
      <c r="S33" s="64"/>
      <c r="T33" s="64"/>
      <c r="U33" s="64"/>
      <c r="V33" s="64"/>
      <c r="W33" s="64"/>
      <c r="X33" s="64"/>
      <c r="Y33" s="64"/>
      <c r="Z33" s="64"/>
      <c r="AA33" s="64"/>
      <c r="AB33" s="64"/>
      <c r="AC33" s="64"/>
      <c r="AD33" s="64"/>
      <c r="AE33" s="64"/>
      <c r="AF33" s="64"/>
      <c r="AG33" s="64"/>
      <c r="AH33" s="64"/>
      <c r="AI33" s="64"/>
      <c r="AJ33" s="64"/>
      <c r="AK33" s="64"/>
      <c r="AL33" s="64"/>
      <c r="AM33" s="64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F33" s="13"/>
      <c r="BG33" s="13"/>
      <c r="BH33" s="13"/>
      <c r="BI33" s="13"/>
      <c r="BJ33" s="13"/>
      <c r="BK33" s="13"/>
      <c r="BL33" s="13"/>
      <c r="BM33" s="13"/>
      <c r="BN33" s="13"/>
      <c r="BO33" s="13"/>
      <c r="BP33" s="13"/>
      <c r="BQ33" s="13"/>
      <c r="BR33" s="13"/>
      <c r="BS33" s="13"/>
      <c r="BT33" s="13"/>
      <c r="BU33" s="13"/>
      <c r="BV33" s="13"/>
      <c r="BW33" s="13"/>
      <c r="BX33" s="13"/>
    </row>
    <row r="34" spans="1:76" s="12" customFormat="1" x14ac:dyDescent="0.35">
      <c r="B34" s="64"/>
      <c r="C34" s="64"/>
      <c r="D34" s="64"/>
      <c r="E34" s="64"/>
      <c r="F34" s="64"/>
      <c r="G34" s="133"/>
      <c r="H34" s="133"/>
      <c r="I34" s="64"/>
      <c r="J34" s="64"/>
      <c r="K34" s="64"/>
      <c r="L34" s="64"/>
      <c r="M34" s="64"/>
      <c r="N34" s="64"/>
      <c r="O34" s="64"/>
      <c r="P34" s="64"/>
      <c r="Q34" s="64"/>
      <c r="R34" s="64"/>
      <c r="S34" s="64"/>
      <c r="T34" s="64"/>
      <c r="U34" s="64"/>
      <c r="V34" s="64"/>
      <c r="W34" s="64"/>
      <c r="X34" s="64"/>
      <c r="Y34" s="64"/>
      <c r="Z34" s="64"/>
      <c r="AA34" s="64"/>
      <c r="AB34" s="64"/>
      <c r="AC34" s="64"/>
      <c r="AD34" s="64"/>
      <c r="AE34" s="64"/>
      <c r="AF34" s="64"/>
      <c r="AG34" s="64"/>
      <c r="AH34" s="64"/>
      <c r="AI34" s="64"/>
      <c r="AJ34" s="64"/>
      <c r="AK34" s="64"/>
      <c r="AL34" s="64"/>
      <c r="AM34" s="64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  <c r="BA34" s="13"/>
      <c r="BB34" s="13"/>
      <c r="BC34" s="13"/>
      <c r="BD34" s="13"/>
      <c r="BE34" s="13"/>
      <c r="BF34" s="13"/>
      <c r="BG34" s="13"/>
      <c r="BH34" s="13"/>
      <c r="BI34" s="13"/>
      <c r="BJ34" s="13"/>
      <c r="BK34" s="13"/>
      <c r="BL34" s="13"/>
      <c r="BM34" s="13"/>
      <c r="BN34" s="13"/>
      <c r="BO34" s="13"/>
      <c r="BP34" s="13"/>
      <c r="BQ34" s="13"/>
      <c r="BR34" s="13"/>
      <c r="BS34" s="13"/>
      <c r="BT34" s="13"/>
      <c r="BU34" s="13"/>
      <c r="BV34" s="13"/>
      <c r="BW34" s="13"/>
      <c r="BX34" s="13"/>
    </row>
    <row r="35" spans="1:76" s="64" customFormat="1" ht="15.5" x14ac:dyDescent="0.35">
      <c r="A35" s="1"/>
      <c r="B35" s="61" t="s">
        <v>116</v>
      </c>
      <c r="C35" s="1"/>
      <c r="D35" s="1"/>
      <c r="E35" s="60"/>
      <c r="F35" s="60"/>
      <c r="G35" s="133"/>
      <c r="H35" s="13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3"/>
      <c r="AZ35" s="13"/>
      <c r="BA35" s="13"/>
      <c r="BB35" s="13"/>
      <c r="BC35" s="13"/>
      <c r="BD35" s="13"/>
      <c r="BE35" s="13"/>
      <c r="BF35" s="13"/>
      <c r="BG35" s="13"/>
      <c r="BH35" s="13"/>
      <c r="BI35" s="13"/>
      <c r="BJ35" s="13"/>
      <c r="BK35" s="13"/>
      <c r="BL35" s="13"/>
      <c r="BM35" s="13"/>
      <c r="BN35" s="13"/>
      <c r="BO35" s="13"/>
      <c r="BP35" s="13"/>
      <c r="BQ35" s="13"/>
      <c r="BR35" s="13"/>
      <c r="BS35" s="13"/>
      <c r="BT35" s="13"/>
      <c r="BU35" s="13"/>
      <c r="BV35" s="13"/>
      <c r="BW35" s="13"/>
      <c r="BX35" s="13"/>
    </row>
    <row r="36" spans="1:76" s="60" customFormat="1" x14ac:dyDescent="0.35">
      <c r="B36" s="102" t="s">
        <v>84</v>
      </c>
      <c r="C36" s="102" t="s">
        <v>85</v>
      </c>
      <c r="G36" s="133"/>
      <c r="H36" s="133"/>
      <c r="I36" s="64"/>
      <c r="J36" s="64"/>
      <c r="K36" s="64"/>
      <c r="L36" s="65"/>
      <c r="M36" s="65"/>
      <c r="N36" s="65"/>
      <c r="O36" s="65"/>
      <c r="P36" s="65"/>
      <c r="Q36" s="65"/>
      <c r="R36" s="65"/>
      <c r="S36" s="65"/>
      <c r="T36" s="65"/>
      <c r="U36" s="65"/>
      <c r="V36" s="65"/>
      <c r="W36" s="65"/>
      <c r="X36" s="65"/>
      <c r="Y36" s="65"/>
      <c r="Z36" s="65"/>
      <c r="AA36" s="65"/>
      <c r="AB36" s="65"/>
      <c r="AC36" s="65"/>
      <c r="AD36" s="65"/>
      <c r="AE36" s="65"/>
      <c r="AF36" s="65"/>
      <c r="AG36" s="65"/>
      <c r="AH36" s="65"/>
      <c r="AI36" s="65"/>
      <c r="AJ36" s="65"/>
      <c r="AK36" s="65"/>
      <c r="AL36" s="65"/>
      <c r="AM36" s="65"/>
      <c r="AN36" s="504"/>
      <c r="AO36" s="504"/>
      <c r="AP36" s="504"/>
      <c r="AQ36" s="504"/>
      <c r="AR36" s="504"/>
      <c r="AS36" s="504"/>
      <c r="AT36" s="504"/>
      <c r="AU36" s="504"/>
      <c r="AV36" s="504"/>
      <c r="AW36" s="504"/>
      <c r="AX36" s="504"/>
      <c r="AY36" s="504"/>
      <c r="AZ36" s="504"/>
      <c r="BA36" s="504"/>
      <c r="BB36" s="504"/>
      <c r="BC36" s="504"/>
      <c r="BD36" s="504"/>
      <c r="BE36" s="504"/>
      <c r="BF36" s="504"/>
      <c r="BG36" s="504"/>
      <c r="BH36" s="504"/>
      <c r="BI36" s="504"/>
      <c r="BJ36" s="504"/>
      <c r="BK36" s="504"/>
      <c r="BL36" s="504"/>
      <c r="BM36" s="504"/>
      <c r="BN36" s="504"/>
      <c r="BO36" s="504"/>
      <c r="BP36" s="504"/>
      <c r="BQ36" s="504"/>
      <c r="BR36" s="504"/>
      <c r="BS36" s="504"/>
      <c r="BT36" s="504"/>
      <c r="BU36" s="504"/>
      <c r="BV36" s="504"/>
      <c r="BW36" s="504"/>
      <c r="BX36" s="504"/>
    </row>
    <row r="37" spans="1:76" s="60" customFormat="1" x14ac:dyDescent="0.35">
      <c r="B37" s="112" t="s">
        <v>62</v>
      </c>
      <c r="C37" s="131">
        <f>IF(SUM(I15:I16)&gt;0,"(Error]",H22*H16)</f>
        <v>0</v>
      </c>
      <c r="G37" s="133"/>
      <c r="H37" s="140">
        <f>C37</f>
        <v>0</v>
      </c>
      <c r="I37" s="64"/>
      <c r="J37" s="64"/>
      <c r="K37" s="64"/>
      <c r="L37" s="65"/>
      <c r="M37" s="65"/>
      <c r="N37" s="65"/>
      <c r="O37" s="65"/>
      <c r="P37" s="65"/>
      <c r="Q37" s="65"/>
      <c r="R37" s="65"/>
      <c r="S37" s="65"/>
      <c r="T37" s="65"/>
      <c r="U37" s="65"/>
      <c r="V37" s="65"/>
      <c r="W37" s="65"/>
      <c r="X37" s="65"/>
      <c r="Y37" s="65"/>
      <c r="Z37" s="65"/>
      <c r="AA37" s="65"/>
      <c r="AB37" s="65"/>
      <c r="AC37" s="65"/>
      <c r="AD37" s="65"/>
      <c r="AE37" s="65"/>
      <c r="AF37" s="65"/>
      <c r="AG37" s="65"/>
      <c r="AH37" s="65"/>
      <c r="AI37" s="65"/>
      <c r="AJ37" s="65"/>
      <c r="AK37" s="65"/>
      <c r="AL37" s="65"/>
      <c r="AM37" s="65"/>
      <c r="AN37" s="504"/>
      <c r="AO37" s="504"/>
      <c r="AP37" s="504"/>
      <c r="AQ37" s="504"/>
      <c r="AR37" s="504"/>
      <c r="AS37" s="504"/>
      <c r="AT37" s="504"/>
      <c r="AU37" s="504"/>
      <c r="AV37" s="504"/>
      <c r="AW37" s="504"/>
      <c r="AX37" s="504"/>
      <c r="AY37" s="504"/>
      <c r="AZ37" s="504"/>
      <c r="BA37" s="504"/>
      <c r="BB37" s="504"/>
      <c r="BC37" s="504"/>
      <c r="BD37" s="504"/>
      <c r="BE37" s="504"/>
      <c r="BF37" s="504"/>
      <c r="BG37" s="504"/>
      <c r="BH37" s="504"/>
      <c r="BI37" s="504"/>
      <c r="BJ37" s="504"/>
      <c r="BK37" s="504"/>
      <c r="BL37" s="504"/>
      <c r="BM37" s="504"/>
      <c r="BN37" s="504"/>
      <c r="BO37" s="504"/>
      <c r="BP37" s="504"/>
      <c r="BQ37" s="504"/>
      <c r="BR37" s="504"/>
      <c r="BS37" s="504"/>
      <c r="BT37" s="504"/>
      <c r="BU37" s="504"/>
      <c r="BV37" s="504"/>
      <c r="BW37" s="504"/>
      <c r="BX37" s="504"/>
    </row>
    <row r="38" spans="1:76" s="60" customFormat="1" x14ac:dyDescent="0.35">
      <c r="B38" s="111" t="s">
        <v>65</v>
      </c>
      <c r="C38" s="131">
        <f>IF(SUM(I15:I16)&gt;0,"(Error]",$H$37*H28/1000)</f>
        <v>0</v>
      </c>
      <c r="G38" s="133"/>
      <c r="H38" s="140">
        <f>C38</f>
        <v>0</v>
      </c>
      <c r="I38" s="64"/>
      <c r="J38" s="64"/>
      <c r="K38" s="64"/>
      <c r="L38" s="65"/>
      <c r="M38" s="65"/>
      <c r="N38" s="65"/>
      <c r="O38" s="65"/>
      <c r="P38" s="65"/>
      <c r="Q38" s="65"/>
      <c r="R38" s="65"/>
      <c r="S38" s="65"/>
      <c r="T38" s="65"/>
      <c r="U38" s="65"/>
      <c r="V38" s="65"/>
      <c r="W38" s="65"/>
      <c r="X38" s="65"/>
      <c r="Y38" s="65"/>
      <c r="Z38" s="65"/>
      <c r="AA38" s="65"/>
      <c r="AB38" s="65"/>
      <c r="AC38" s="65"/>
      <c r="AD38" s="65"/>
      <c r="AE38" s="65"/>
      <c r="AF38" s="65"/>
      <c r="AG38" s="65"/>
      <c r="AH38" s="65"/>
      <c r="AI38" s="65"/>
      <c r="AJ38" s="65"/>
      <c r="AK38" s="65"/>
      <c r="AL38" s="65"/>
      <c r="AM38" s="65"/>
      <c r="AN38" s="504"/>
      <c r="AO38" s="504"/>
      <c r="AP38" s="504"/>
      <c r="AQ38" s="504"/>
      <c r="AR38" s="504"/>
      <c r="AS38" s="504"/>
      <c r="AT38" s="504"/>
      <c r="AU38" s="504"/>
      <c r="AV38" s="504"/>
      <c r="AW38" s="504"/>
      <c r="AX38" s="504"/>
      <c r="AY38" s="504"/>
      <c r="AZ38" s="504"/>
      <c r="BA38" s="504"/>
      <c r="BB38" s="504"/>
      <c r="BC38" s="504"/>
      <c r="BD38" s="504"/>
      <c r="BE38" s="504"/>
      <c r="BF38" s="504"/>
      <c r="BG38" s="504"/>
      <c r="BH38" s="504"/>
      <c r="BI38" s="504"/>
      <c r="BJ38" s="504"/>
      <c r="BK38" s="504"/>
      <c r="BL38" s="504"/>
      <c r="BM38" s="504"/>
      <c r="BN38" s="504"/>
      <c r="BO38" s="504"/>
      <c r="BP38" s="504"/>
      <c r="BQ38" s="504"/>
      <c r="BR38" s="504"/>
      <c r="BS38" s="504"/>
      <c r="BT38" s="504"/>
      <c r="BU38" s="504"/>
      <c r="BV38" s="504"/>
      <c r="BW38" s="504"/>
      <c r="BX38" s="504"/>
    </row>
    <row r="39" spans="1:76" s="60" customFormat="1" x14ac:dyDescent="0.35">
      <c r="B39" s="111" t="s">
        <v>66</v>
      </c>
      <c r="C39" s="131">
        <f>IF(SUM(I15:I16)&gt;0,"(Error]",$H$37*H29/1000)</f>
        <v>0</v>
      </c>
      <c r="G39" s="133"/>
      <c r="H39" s="140">
        <f t="shared" ref="H39:H42" si="2">C39</f>
        <v>0</v>
      </c>
      <c r="I39" s="64"/>
      <c r="J39" s="64"/>
      <c r="K39" s="64"/>
      <c r="L39" s="65"/>
      <c r="M39" s="65"/>
      <c r="N39" s="65"/>
      <c r="O39" s="65"/>
      <c r="P39" s="65"/>
      <c r="Q39" s="65"/>
      <c r="R39" s="65"/>
      <c r="S39" s="65"/>
      <c r="T39" s="65"/>
      <c r="U39" s="65"/>
      <c r="V39" s="65"/>
      <c r="W39" s="65"/>
      <c r="X39" s="65"/>
      <c r="Y39" s="65"/>
      <c r="Z39" s="65"/>
      <c r="AA39" s="65"/>
      <c r="AB39" s="65"/>
      <c r="AC39" s="65"/>
      <c r="AD39" s="65"/>
      <c r="AE39" s="65"/>
      <c r="AF39" s="65"/>
      <c r="AG39" s="65"/>
      <c r="AH39" s="65"/>
      <c r="AI39" s="65"/>
      <c r="AJ39" s="65"/>
      <c r="AK39" s="65"/>
      <c r="AL39" s="65"/>
      <c r="AM39" s="65"/>
      <c r="AN39" s="504"/>
      <c r="AO39" s="504"/>
      <c r="AP39" s="504"/>
      <c r="AQ39" s="504"/>
      <c r="AR39" s="504"/>
      <c r="AS39" s="504"/>
      <c r="AT39" s="504"/>
      <c r="AU39" s="504"/>
      <c r="AV39" s="504"/>
      <c r="AW39" s="504"/>
      <c r="AX39" s="504"/>
      <c r="AY39" s="504"/>
      <c r="AZ39" s="504"/>
      <c r="BA39" s="504"/>
      <c r="BB39" s="504"/>
      <c r="BC39" s="504"/>
      <c r="BD39" s="504"/>
      <c r="BE39" s="504"/>
      <c r="BF39" s="504"/>
      <c r="BG39" s="504"/>
      <c r="BH39" s="504"/>
      <c r="BI39" s="504"/>
      <c r="BJ39" s="504"/>
      <c r="BK39" s="504"/>
      <c r="BL39" s="504"/>
      <c r="BM39" s="504"/>
      <c r="BN39" s="504"/>
      <c r="BO39" s="504"/>
      <c r="BP39" s="504"/>
      <c r="BQ39" s="504"/>
      <c r="BR39" s="504"/>
      <c r="BS39" s="504"/>
      <c r="BT39" s="504"/>
      <c r="BU39" s="504"/>
      <c r="BV39" s="504"/>
      <c r="BW39" s="504"/>
      <c r="BX39" s="504"/>
    </row>
    <row r="40" spans="1:76" s="60" customFormat="1" x14ac:dyDescent="0.35">
      <c r="B40" s="111" t="s">
        <v>67</v>
      </c>
      <c r="C40" s="131">
        <f>IF(SUM(I15:I16)&gt;0,"(Error]",$H$37*H30/1000)</f>
        <v>0</v>
      </c>
      <c r="D40" s="1"/>
      <c r="E40" s="1"/>
      <c r="F40" s="1"/>
      <c r="G40" s="133"/>
      <c r="H40" s="140">
        <f t="shared" si="2"/>
        <v>0</v>
      </c>
      <c r="I40" s="64"/>
      <c r="J40" s="64"/>
      <c r="K40" s="64"/>
      <c r="L40" s="64"/>
      <c r="M40" s="65"/>
      <c r="N40" s="65"/>
      <c r="O40" s="65"/>
      <c r="P40" s="65"/>
      <c r="Q40" s="65"/>
      <c r="R40" s="65"/>
      <c r="S40" s="65"/>
      <c r="T40" s="65"/>
      <c r="U40" s="65"/>
      <c r="V40" s="65"/>
      <c r="W40" s="65"/>
      <c r="X40" s="65"/>
      <c r="Y40" s="65"/>
      <c r="Z40" s="65"/>
      <c r="AA40" s="65"/>
      <c r="AB40" s="65"/>
      <c r="AC40" s="65"/>
      <c r="AD40" s="65"/>
      <c r="AE40" s="65"/>
      <c r="AF40" s="65"/>
      <c r="AG40" s="65"/>
      <c r="AH40" s="65"/>
      <c r="AI40" s="65"/>
      <c r="AJ40" s="65"/>
      <c r="AK40" s="65"/>
      <c r="AL40" s="65"/>
      <c r="AM40" s="65"/>
      <c r="AN40" s="504"/>
      <c r="AO40" s="504"/>
      <c r="AP40" s="504"/>
      <c r="AQ40" s="504"/>
      <c r="AR40" s="504"/>
      <c r="AS40" s="504"/>
      <c r="AT40" s="504"/>
      <c r="AU40" s="504"/>
      <c r="AV40" s="504"/>
      <c r="AW40" s="504"/>
      <c r="AX40" s="504"/>
      <c r="AY40" s="504"/>
      <c r="AZ40" s="504"/>
      <c r="BA40" s="504"/>
      <c r="BB40" s="504"/>
      <c r="BC40" s="504"/>
      <c r="BD40" s="504"/>
      <c r="BE40" s="504"/>
      <c r="BF40" s="504"/>
      <c r="BG40" s="504"/>
      <c r="BH40" s="504"/>
      <c r="BI40" s="504"/>
      <c r="BJ40" s="504"/>
      <c r="BK40" s="504"/>
      <c r="BL40" s="504"/>
      <c r="BM40" s="504"/>
      <c r="BN40" s="504"/>
      <c r="BO40" s="504"/>
      <c r="BP40" s="504"/>
      <c r="BQ40" s="504"/>
      <c r="BR40" s="504"/>
      <c r="BS40" s="504"/>
      <c r="BT40" s="504"/>
      <c r="BU40" s="504"/>
      <c r="BV40" s="504"/>
      <c r="BW40" s="504"/>
      <c r="BX40" s="504"/>
    </row>
    <row r="41" spans="1:76" x14ac:dyDescent="0.35">
      <c r="B41" s="111" t="s">
        <v>68</v>
      </c>
      <c r="C41" s="131">
        <f>IF(SUM(I15:I16)&gt;0,"(Error]",$H$37*H31/1000)</f>
        <v>0</v>
      </c>
      <c r="G41" s="133"/>
      <c r="H41" s="140">
        <f t="shared" si="2"/>
        <v>0</v>
      </c>
      <c r="I41" s="64"/>
      <c r="M41" s="64"/>
    </row>
    <row r="42" spans="1:76" x14ac:dyDescent="0.35">
      <c r="B42" s="111" t="s">
        <v>69</v>
      </c>
      <c r="C42" s="131">
        <f>IF(SUM(I15:I16)&gt;0,"(Error]",$H$37*H32/1000)</f>
        <v>0</v>
      </c>
      <c r="G42" s="133"/>
      <c r="H42" s="140">
        <f t="shared" si="2"/>
        <v>0</v>
      </c>
      <c r="I42" s="64"/>
      <c r="M42" s="64"/>
    </row>
    <row r="43" spans="1:76" x14ac:dyDescent="0.35">
      <c r="G43" s="128"/>
      <c r="H43" s="128"/>
      <c r="I43" s="64"/>
      <c r="M43" s="64"/>
    </row>
    <row r="44" spans="1:76" x14ac:dyDescent="0.35">
      <c r="A44" s="64"/>
      <c r="B44" s="64"/>
      <c r="C44" s="64"/>
      <c r="D44" s="64"/>
      <c r="E44" s="64"/>
      <c r="F44" s="64"/>
      <c r="G44" s="128"/>
      <c r="H44" s="128"/>
      <c r="I44" s="64"/>
      <c r="M44" s="64"/>
    </row>
    <row r="45" spans="1:76" s="64" customFormat="1" x14ac:dyDescent="0.35">
      <c r="G45" s="128"/>
      <c r="H45" s="128"/>
      <c r="AN45" s="13"/>
      <c r="AO45" s="13"/>
      <c r="AP45" s="13"/>
      <c r="AQ45" s="13"/>
      <c r="AR45" s="13"/>
      <c r="AS45" s="13"/>
      <c r="AT45" s="13"/>
      <c r="AU45" s="13"/>
      <c r="AV45" s="13"/>
      <c r="AW45" s="13"/>
      <c r="AX45" s="13"/>
      <c r="AY45" s="13"/>
      <c r="AZ45" s="13"/>
      <c r="BA45" s="13"/>
      <c r="BB45" s="13"/>
      <c r="BC45" s="13"/>
      <c r="BD45" s="13"/>
      <c r="BE45" s="13"/>
      <c r="BF45" s="13"/>
      <c r="BG45" s="13"/>
      <c r="BH45" s="13"/>
      <c r="BI45" s="13"/>
      <c r="BJ45" s="13"/>
      <c r="BK45" s="13"/>
      <c r="BL45" s="13"/>
      <c r="BM45" s="13"/>
      <c r="BN45" s="13"/>
      <c r="BO45" s="13"/>
      <c r="BP45" s="13"/>
      <c r="BQ45" s="13"/>
      <c r="BR45" s="13"/>
      <c r="BS45" s="13"/>
      <c r="BT45" s="13"/>
      <c r="BU45" s="13"/>
      <c r="BV45" s="13"/>
      <c r="BW45" s="13"/>
      <c r="BX45" s="13"/>
    </row>
    <row r="46" spans="1:76" s="64" customFormat="1" x14ac:dyDescent="0.35">
      <c r="G46" s="128"/>
      <c r="H46" s="128"/>
      <c r="AN46" s="13"/>
      <c r="AO46" s="13"/>
      <c r="AP46" s="13"/>
      <c r="AQ46" s="13"/>
      <c r="AR46" s="13"/>
      <c r="AS46" s="13"/>
      <c r="AT46" s="13"/>
      <c r="AU46" s="13"/>
      <c r="AV46" s="13"/>
      <c r="AW46" s="13"/>
      <c r="AX46" s="13"/>
      <c r="AY46" s="13"/>
      <c r="AZ46" s="13"/>
      <c r="BA46" s="13"/>
      <c r="BB46" s="13"/>
      <c r="BC46" s="13"/>
      <c r="BD46" s="13"/>
      <c r="BE46" s="13"/>
      <c r="BF46" s="13"/>
      <c r="BG46" s="13"/>
      <c r="BH46" s="13"/>
      <c r="BI46" s="13"/>
      <c r="BJ46" s="13"/>
      <c r="BK46" s="13"/>
      <c r="BL46" s="13"/>
      <c r="BM46" s="13"/>
      <c r="BN46" s="13"/>
      <c r="BO46" s="13"/>
      <c r="BP46" s="13"/>
      <c r="BQ46" s="13"/>
      <c r="BR46" s="13"/>
      <c r="BS46" s="13"/>
      <c r="BT46" s="13"/>
      <c r="BU46" s="13"/>
      <c r="BV46" s="13"/>
      <c r="BW46" s="13"/>
      <c r="BX46" s="13"/>
    </row>
    <row r="47" spans="1:76" s="64" customFormat="1" x14ac:dyDescent="0.35">
      <c r="G47" s="128"/>
      <c r="H47" s="128"/>
      <c r="AN47" s="13"/>
      <c r="AO47" s="13"/>
      <c r="AP47" s="13"/>
      <c r="AQ47" s="13"/>
      <c r="AR47" s="13"/>
      <c r="AS47" s="13"/>
      <c r="AT47" s="13"/>
      <c r="AU47" s="13"/>
      <c r="AV47" s="13"/>
      <c r="AW47" s="13"/>
      <c r="AX47" s="13"/>
      <c r="AY47" s="13"/>
      <c r="AZ47" s="13"/>
      <c r="BA47" s="13"/>
      <c r="BB47" s="13"/>
      <c r="BC47" s="13"/>
      <c r="BD47" s="13"/>
      <c r="BE47" s="13"/>
      <c r="BF47" s="13"/>
      <c r="BG47" s="13"/>
      <c r="BH47" s="13"/>
      <c r="BI47" s="13"/>
      <c r="BJ47" s="13"/>
      <c r="BK47" s="13"/>
      <c r="BL47" s="13"/>
      <c r="BM47" s="13"/>
      <c r="BN47" s="13"/>
      <c r="BO47" s="13"/>
      <c r="BP47" s="13"/>
      <c r="BQ47" s="13"/>
      <c r="BR47" s="13"/>
      <c r="BS47" s="13"/>
      <c r="BT47" s="13"/>
      <c r="BU47" s="13"/>
      <c r="BV47" s="13"/>
      <c r="BW47" s="13"/>
      <c r="BX47" s="13"/>
    </row>
    <row r="48" spans="1:76" s="64" customFormat="1" x14ac:dyDescent="0.35">
      <c r="G48" s="128"/>
      <c r="H48" s="128"/>
      <c r="AN48" s="13"/>
      <c r="AO48" s="13"/>
      <c r="AP48" s="13"/>
      <c r="AQ48" s="13"/>
      <c r="AR48" s="13"/>
      <c r="AS48" s="13"/>
      <c r="AT48" s="13"/>
      <c r="AU48" s="13"/>
      <c r="AV48" s="13"/>
      <c r="AW48" s="13"/>
      <c r="AX48" s="13"/>
      <c r="AY48" s="13"/>
      <c r="AZ48" s="13"/>
      <c r="BA48" s="13"/>
      <c r="BB48" s="13"/>
      <c r="BC48" s="13"/>
      <c r="BD48" s="13"/>
      <c r="BE48" s="13"/>
      <c r="BF48" s="13"/>
      <c r="BG48" s="13"/>
      <c r="BH48" s="13"/>
      <c r="BI48" s="13"/>
      <c r="BJ48" s="13"/>
      <c r="BK48" s="13"/>
      <c r="BL48" s="13"/>
      <c r="BM48" s="13"/>
      <c r="BN48" s="13"/>
      <c r="BO48" s="13"/>
      <c r="BP48" s="13"/>
      <c r="BQ48" s="13"/>
      <c r="BR48" s="13"/>
      <c r="BS48" s="13"/>
      <c r="BT48" s="13"/>
      <c r="BU48" s="13"/>
      <c r="BV48" s="13"/>
      <c r="BW48" s="13"/>
      <c r="BX48" s="13"/>
    </row>
    <row r="49" spans="7:76" s="64" customFormat="1" x14ac:dyDescent="0.35">
      <c r="G49" s="128"/>
      <c r="H49" s="128"/>
      <c r="AN49" s="13"/>
      <c r="AO49" s="13"/>
      <c r="AP49" s="13"/>
      <c r="AQ49" s="13"/>
      <c r="AR49" s="13"/>
      <c r="AS49" s="13"/>
      <c r="AT49" s="13"/>
      <c r="AU49" s="13"/>
      <c r="AV49" s="13"/>
      <c r="AW49" s="13"/>
      <c r="AX49" s="13"/>
      <c r="AY49" s="13"/>
      <c r="AZ49" s="13"/>
      <c r="BA49" s="13"/>
      <c r="BB49" s="13"/>
      <c r="BC49" s="13"/>
      <c r="BD49" s="13"/>
      <c r="BE49" s="13"/>
      <c r="BF49" s="13"/>
      <c r="BG49" s="13"/>
      <c r="BH49" s="13"/>
      <c r="BI49" s="13"/>
      <c r="BJ49" s="13"/>
      <c r="BK49" s="13"/>
      <c r="BL49" s="13"/>
      <c r="BM49" s="13"/>
      <c r="BN49" s="13"/>
      <c r="BO49" s="13"/>
      <c r="BP49" s="13"/>
      <c r="BQ49" s="13"/>
      <c r="BR49" s="13"/>
      <c r="BS49" s="13"/>
      <c r="BT49" s="13"/>
      <c r="BU49" s="13"/>
      <c r="BV49" s="13"/>
      <c r="BW49" s="13"/>
      <c r="BX49" s="13"/>
    </row>
    <row r="50" spans="7:76" s="64" customFormat="1" x14ac:dyDescent="0.35">
      <c r="G50" s="128"/>
      <c r="H50" s="128"/>
      <c r="AN50" s="13"/>
      <c r="AO50" s="13"/>
      <c r="AP50" s="13"/>
      <c r="AQ50" s="13"/>
      <c r="AR50" s="13"/>
      <c r="AS50" s="13"/>
      <c r="AT50" s="13"/>
      <c r="AU50" s="13"/>
      <c r="AV50" s="13"/>
      <c r="AW50" s="13"/>
      <c r="AX50" s="13"/>
      <c r="AY50" s="13"/>
      <c r="AZ50" s="13"/>
      <c r="BA50" s="13"/>
      <c r="BB50" s="13"/>
      <c r="BC50" s="13"/>
      <c r="BD50" s="13"/>
      <c r="BE50" s="13"/>
      <c r="BF50" s="13"/>
      <c r="BG50" s="13"/>
      <c r="BH50" s="13"/>
      <c r="BI50" s="13"/>
      <c r="BJ50" s="13"/>
      <c r="BK50" s="13"/>
      <c r="BL50" s="13"/>
      <c r="BM50" s="13"/>
      <c r="BN50" s="13"/>
      <c r="BO50" s="13"/>
      <c r="BP50" s="13"/>
      <c r="BQ50" s="13"/>
      <c r="BR50" s="13"/>
      <c r="BS50" s="13"/>
      <c r="BT50" s="13"/>
      <c r="BU50" s="13"/>
      <c r="BV50" s="13"/>
      <c r="BW50" s="13"/>
      <c r="BX50" s="13"/>
    </row>
    <row r="51" spans="7:76" s="64" customFormat="1" x14ac:dyDescent="0.35">
      <c r="G51" s="128"/>
      <c r="H51" s="128"/>
      <c r="AN51" s="13"/>
      <c r="AO51" s="13"/>
      <c r="AP51" s="13"/>
      <c r="AQ51" s="13"/>
      <c r="AR51" s="13"/>
      <c r="AS51" s="13"/>
      <c r="AT51" s="13"/>
      <c r="AU51" s="13"/>
      <c r="AV51" s="13"/>
      <c r="AW51" s="13"/>
      <c r="AX51" s="13"/>
      <c r="AY51" s="13"/>
      <c r="AZ51" s="13"/>
      <c r="BA51" s="13"/>
      <c r="BB51" s="13"/>
      <c r="BC51" s="13"/>
      <c r="BD51" s="13"/>
      <c r="BE51" s="13"/>
      <c r="BF51" s="13"/>
      <c r="BG51" s="13"/>
      <c r="BH51" s="13"/>
      <c r="BI51" s="13"/>
      <c r="BJ51" s="13"/>
      <c r="BK51" s="13"/>
      <c r="BL51" s="13"/>
      <c r="BM51" s="13"/>
      <c r="BN51" s="13"/>
      <c r="BO51" s="13"/>
      <c r="BP51" s="13"/>
      <c r="BQ51" s="13"/>
      <c r="BR51" s="13"/>
      <c r="BS51" s="13"/>
      <c r="BT51" s="13"/>
      <c r="BU51" s="13"/>
      <c r="BV51" s="13"/>
      <c r="BW51" s="13"/>
      <c r="BX51" s="13"/>
    </row>
    <row r="52" spans="7:76" s="64" customFormat="1" x14ac:dyDescent="0.35">
      <c r="G52" s="128"/>
      <c r="H52" s="128"/>
      <c r="AN52" s="13"/>
      <c r="AO52" s="13"/>
      <c r="AP52" s="13"/>
      <c r="AQ52" s="13"/>
      <c r="AR52" s="13"/>
      <c r="AS52" s="13"/>
      <c r="AT52" s="13"/>
      <c r="AU52" s="13"/>
      <c r="AV52" s="13"/>
      <c r="AW52" s="13"/>
      <c r="AX52" s="13"/>
      <c r="AY52" s="13"/>
      <c r="AZ52" s="13"/>
      <c r="BA52" s="13"/>
      <c r="BB52" s="13"/>
      <c r="BC52" s="13"/>
      <c r="BD52" s="13"/>
      <c r="BE52" s="13"/>
      <c r="BF52" s="13"/>
      <c r="BG52" s="13"/>
      <c r="BH52" s="13"/>
      <c r="BI52" s="13"/>
      <c r="BJ52" s="13"/>
      <c r="BK52" s="13"/>
      <c r="BL52" s="13"/>
      <c r="BM52" s="13"/>
      <c r="BN52" s="13"/>
      <c r="BO52" s="13"/>
      <c r="BP52" s="13"/>
      <c r="BQ52" s="13"/>
      <c r="BR52" s="13"/>
      <c r="BS52" s="13"/>
      <c r="BT52" s="13"/>
      <c r="BU52" s="13"/>
      <c r="BV52" s="13"/>
      <c r="BW52" s="13"/>
      <c r="BX52" s="13"/>
    </row>
    <row r="53" spans="7:76" s="64" customFormat="1" x14ac:dyDescent="0.35">
      <c r="G53" s="128"/>
      <c r="H53" s="128"/>
      <c r="AN53" s="13"/>
      <c r="AO53" s="13"/>
      <c r="AP53" s="13"/>
      <c r="AQ53" s="13"/>
      <c r="AR53" s="13"/>
      <c r="AS53" s="13"/>
      <c r="AT53" s="13"/>
      <c r="AU53" s="13"/>
      <c r="AV53" s="13"/>
      <c r="AW53" s="13"/>
      <c r="AX53" s="13"/>
      <c r="AY53" s="13"/>
      <c r="AZ53" s="13"/>
      <c r="BA53" s="13"/>
      <c r="BB53" s="13"/>
      <c r="BC53" s="13"/>
      <c r="BD53" s="13"/>
      <c r="BE53" s="13"/>
      <c r="BF53" s="13"/>
      <c r="BG53" s="13"/>
      <c r="BH53" s="13"/>
      <c r="BI53" s="13"/>
      <c r="BJ53" s="13"/>
      <c r="BK53" s="13"/>
      <c r="BL53" s="13"/>
      <c r="BM53" s="13"/>
      <c r="BN53" s="13"/>
      <c r="BO53" s="13"/>
      <c r="BP53" s="13"/>
      <c r="BQ53" s="13"/>
      <c r="BR53" s="13"/>
      <c r="BS53" s="13"/>
      <c r="BT53" s="13"/>
      <c r="BU53" s="13"/>
      <c r="BV53" s="13"/>
      <c r="BW53" s="13"/>
      <c r="BX53" s="13"/>
    </row>
    <row r="54" spans="7:76" s="64" customFormat="1" x14ac:dyDescent="0.35">
      <c r="G54" s="128"/>
      <c r="H54" s="128"/>
      <c r="AN54" s="13"/>
      <c r="AO54" s="13"/>
      <c r="AP54" s="13"/>
      <c r="AQ54" s="13"/>
      <c r="AR54" s="13"/>
      <c r="AS54" s="13"/>
      <c r="AT54" s="13"/>
      <c r="AU54" s="13"/>
      <c r="AV54" s="13"/>
      <c r="AW54" s="13"/>
      <c r="AX54" s="13"/>
      <c r="AY54" s="13"/>
      <c r="AZ54" s="13"/>
      <c r="BA54" s="13"/>
      <c r="BB54" s="13"/>
      <c r="BC54" s="13"/>
      <c r="BD54" s="13"/>
      <c r="BE54" s="13"/>
      <c r="BF54" s="13"/>
      <c r="BG54" s="13"/>
      <c r="BH54" s="13"/>
      <c r="BI54" s="13"/>
      <c r="BJ54" s="13"/>
      <c r="BK54" s="13"/>
      <c r="BL54" s="13"/>
      <c r="BM54" s="13"/>
      <c r="BN54" s="13"/>
      <c r="BO54" s="13"/>
      <c r="BP54" s="13"/>
      <c r="BQ54" s="13"/>
      <c r="BR54" s="13"/>
      <c r="BS54" s="13"/>
      <c r="BT54" s="13"/>
      <c r="BU54" s="13"/>
      <c r="BV54" s="13"/>
      <c r="BW54" s="13"/>
      <c r="BX54" s="13"/>
    </row>
    <row r="55" spans="7:76" s="64" customFormat="1" x14ac:dyDescent="0.35">
      <c r="G55" s="128"/>
      <c r="H55" s="128"/>
      <c r="AN55" s="13"/>
      <c r="AO55" s="13"/>
      <c r="AP55" s="13"/>
      <c r="AQ55" s="13"/>
      <c r="AR55" s="13"/>
      <c r="AS55" s="13"/>
      <c r="AT55" s="13"/>
      <c r="AU55" s="13"/>
      <c r="AV55" s="13"/>
      <c r="AW55" s="13"/>
      <c r="AX55" s="13"/>
      <c r="AY55" s="13"/>
      <c r="AZ55" s="13"/>
      <c r="BA55" s="13"/>
      <c r="BB55" s="13"/>
      <c r="BC55" s="13"/>
      <c r="BD55" s="13"/>
      <c r="BE55" s="13"/>
      <c r="BF55" s="13"/>
      <c r="BG55" s="13"/>
      <c r="BH55" s="13"/>
      <c r="BI55" s="13"/>
      <c r="BJ55" s="13"/>
      <c r="BK55" s="13"/>
      <c r="BL55" s="13"/>
      <c r="BM55" s="13"/>
      <c r="BN55" s="13"/>
      <c r="BO55" s="13"/>
      <c r="BP55" s="13"/>
      <c r="BQ55" s="13"/>
      <c r="BR55" s="13"/>
      <c r="BS55" s="13"/>
      <c r="BT55" s="13"/>
      <c r="BU55" s="13"/>
      <c r="BV55" s="13"/>
      <c r="BW55" s="13"/>
      <c r="BX55" s="13"/>
    </row>
    <row r="56" spans="7:76" s="64" customFormat="1" x14ac:dyDescent="0.35">
      <c r="G56" s="128"/>
      <c r="H56" s="128"/>
      <c r="AN56" s="13"/>
      <c r="AO56" s="13"/>
      <c r="AP56" s="13"/>
      <c r="AQ56" s="13"/>
      <c r="AR56" s="13"/>
      <c r="AS56" s="13"/>
      <c r="AT56" s="13"/>
      <c r="AU56" s="13"/>
      <c r="AV56" s="13"/>
      <c r="AW56" s="13"/>
      <c r="AX56" s="13"/>
      <c r="AY56" s="13"/>
      <c r="AZ56" s="13"/>
      <c r="BA56" s="13"/>
      <c r="BB56" s="13"/>
      <c r="BC56" s="13"/>
      <c r="BD56" s="13"/>
      <c r="BE56" s="13"/>
      <c r="BF56" s="13"/>
      <c r="BG56" s="13"/>
      <c r="BH56" s="13"/>
      <c r="BI56" s="13"/>
      <c r="BJ56" s="13"/>
      <c r="BK56" s="13"/>
      <c r="BL56" s="13"/>
      <c r="BM56" s="13"/>
      <c r="BN56" s="13"/>
      <c r="BO56" s="13"/>
      <c r="BP56" s="13"/>
      <c r="BQ56" s="13"/>
      <c r="BR56" s="13"/>
      <c r="BS56" s="13"/>
      <c r="BT56" s="13"/>
      <c r="BU56" s="13"/>
      <c r="BV56" s="13"/>
      <c r="BW56" s="13"/>
      <c r="BX56" s="13"/>
    </row>
    <row r="57" spans="7:76" s="64" customFormat="1" x14ac:dyDescent="0.35">
      <c r="G57" s="128"/>
      <c r="H57" s="128"/>
      <c r="AN57" s="13"/>
      <c r="AO57" s="13"/>
      <c r="AP57" s="13"/>
      <c r="AQ57" s="13"/>
      <c r="AR57" s="13"/>
      <c r="AS57" s="13"/>
      <c r="AT57" s="13"/>
      <c r="AU57" s="13"/>
      <c r="AV57" s="13"/>
      <c r="AW57" s="13"/>
      <c r="AX57" s="13"/>
      <c r="AY57" s="13"/>
      <c r="AZ57" s="13"/>
      <c r="BA57" s="13"/>
      <c r="BB57" s="13"/>
      <c r="BC57" s="13"/>
      <c r="BD57" s="13"/>
      <c r="BE57" s="13"/>
      <c r="BF57" s="13"/>
      <c r="BG57" s="13"/>
      <c r="BH57" s="13"/>
      <c r="BI57" s="13"/>
      <c r="BJ57" s="13"/>
      <c r="BK57" s="13"/>
      <c r="BL57" s="13"/>
      <c r="BM57" s="13"/>
      <c r="BN57" s="13"/>
      <c r="BO57" s="13"/>
      <c r="BP57" s="13"/>
      <c r="BQ57" s="13"/>
      <c r="BR57" s="13"/>
      <c r="BS57" s="13"/>
      <c r="BT57" s="13"/>
      <c r="BU57" s="13"/>
      <c r="BV57" s="13"/>
      <c r="BW57" s="13"/>
      <c r="BX57" s="13"/>
    </row>
    <row r="58" spans="7:76" s="64" customFormat="1" x14ac:dyDescent="0.35">
      <c r="G58" s="128"/>
      <c r="H58" s="128"/>
      <c r="AN58" s="13"/>
      <c r="AO58" s="13"/>
      <c r="AP58" s="13"/>
      <c r="AQ58" s="13"/>
      <c r="AR58" s="13"/>
      <c r="AS58" s="13"/>
      <c r="AT58" s="13"/>
      <c r="AU58" s="13"/>
      <c r="AV58" s="13"/>
      <c r="AW58" s="13"/>
      <c r="AX58" s="13"/>
      <c r="AY58" s="13"/>
      <c r="AZ58" s="13"/>
      <c r="BA58" s="13"/>
      <c r="BB58" s="13"/>
      <c r="BC58" s="13"/>
      <c r="BD58" s="13"/>
      <c r="BE58" s="13"/>
      <c r="BF58" s="13"/>
      <c r="BG58" s="13"/>
      <c r="BH58" s="13"/>
      <c r="BI58" s="13"/>
      <c r="BJ58" s="13"/>
      <c r="BK58" s="13"/>
      <c r="BL58" s="13"/>
      <c r="BM58" s="13"/>
      <c r="BN58" s="13"/>
      <c r="BO58" s="13"/>
      <c r="BP58" s="13"/>
      <c r="BQ58" s="13"/>
      <c r="BR58" s="13"/>
      <c r="BS58" s="13"/>
      <c r="BT58" s="13"/>
      <c r="BU58" s="13"/>
      <c r="BV58" s="13"/>
      <c r="BW58" s="13"/>
      <c r="BX58" s="13"/>
    </row>
    <row r="59" spans="7:76" s="64" customFormat="1" x14ac:dyDescent="0.35">
      <c r="G59" s="128"/>
      <c r="H59" s="128"/>
      <c r="AN59" s="13"/>
      <c r="AO59" s="13"/>
      <c r="AP59" s="13"/>
      <c r="AQ59" s="13"/>
      <c r="AR59" s="13"/>
      <c r="AS59" s="13"/>
      <c r="AT59" s="13"/>
      <c r="AU59" s="13"/>
      <c r="AV59" s="13"/>
      <c r="AW59" s="13"/>
      <c r="AX59" s="13"/>
      <c r="AY59" s="13"/>
      <c r="AZ59" s="13"/>
      <c r="BA59" s="13"/>
      <c r="BB59" s="13"/>
      <c r="BC59" s="13"/>
      <c r="BD59" s="13"/>
      <c r="BE59" s="13"/>
      <c r="BF59" s="13"/>
      <c r="BG59" s="13"/>
      <c r="BH59" s="13"/>
      <c r="BI59" s="13"/>
      <c r="BJ59" s="13"/>
      <c r="BK59" s="13"/>
      <c r="BL59" s="13"/>
      <c r="BM59" s="13"/>
      <c r="BN59" s="13"/>
      <c r="BO59" s="13"/>
      <c r="BP59" s="13"/>
      <c r="BQ59" s="13"/>
      <c r="BR59" s="13"/>
      <c r="BS59" s="13"/>
      <c r="BT59" s="13"/>
      <c r="BU59" s="13"/>
      <c r="BV59" s="13"/>
      <c r="BW59" s="13"/>
      <c r="BX59" s="13"/>
    </row>
    <row r="60" spans="7:76" s="64" customFormat="1" x14ac:dyDescent="0.35">
      <c r="G60" s="128"/>
      <c r="H60" s="128"/>
      <c r="AN60" s="13"/>
      <c r="AO60" s="13"/>
      <c r="AP60" s="13"/>
      <c r="AQ60" s="13"/>
      <c r="AR60" s="13"/>
      <c r="AS60" s="13"/>
      <c r="AT60" s="13"/>
      <c r="AU60" s="13"/>
      <c r="AV60" s="13"/>
      <c r="AW60" s="13"/>
      <c r="AX60" s="13"/>
      <c r="AY60" s="13"/>
      <c r="AZ60" s="13"/>
      <c r="BA60" s="13"/>
      <c r="BB60" s="13"/>
      <c r="BC60" s="13"/>
      <c r="BD60" s="13"/>
      <c r="BE60" s="13"/>
      <c r="BF60" s="13"/>
      <c r="BG60" s="13"/>
      <c r="BH60" s="13"/>
      <c r="BI60" s="13"/>
      <c r="BJ60" s="13"/>
      <c r="BK60" s="13"/>
      <c r="BL60" s="13"/>
      <c r="BM60" s="13"/>
      <c r="BN60" s="13"/>
      <c r="BO60" s="13"/>
      <c r="BP60" s="13"/>
      <c r="BQ60" s="13"/>
      <c r="BR60" s="13"/>
      <c r="BS60" s="13"/>
      <c r="BT60" s="13"/>
      <c r="BU60" s="13"/>
      <c r="BV60" s="13"/>
      <c r="BW60" s="13"/>
      <c r="BX60" s="13"/>
    </row>
    <row r="61" spans="7:76" s="64" customFormat="1" x14ac:dyDescent="0.35">
      <c r="G61" s="128"/>
      <c r="H61" s="128"/>
      <c r="AN61" s="13"/>
      <c r="AO61" s="13"/>
      <c r="AP61" s="13"/>
      <c r="AQ61" s="13"/>
      <c r="AR61" s="13"/>
      <c r="AS61" s="13"/>
      <c r="AT61" s="13"/>
      <c r="AU61" s="13"/>
      <c r="AV61" s="13"/>
      <c r="AW61" s="13"/>
      <c r="AX61" s="13"/>
      <c r="AY61" s="13"/>
      <c r="AZ61" s="13"/>
      <c r="BA61" s="13"/>
      <c r="BB61" s="13"/>
      <c r="BC61" s="13"/>
      <c r="BD61" s="13"/>
      <c r="BE61" s="13"/>
      <c r="BF61" s="13"/>
      <c r="BG61" s="13"/>
      <c r="BH61" s="13"/>
      <c r="BI61" s="13"/>
      <c r="BJ61" s="13"/>
      <c r="BK61" s="13"/>
      <c r="BL61" s="13"/>
      <c r="BM61" s="13"/>
      <c r="BN61" s="13"/>
      <c r="BO61" s="13"/>
      <c r="BP61" s="13"/>
      <c r="BQ61" s="13"/>
      <c r="BR61" s="13"/>
      <c r="BS61" s="13"/>
      <c r="BT61" s="13"/>
      <c r="BU61" s="13"/>
      <c r="BV61" s="13"/>
      <c r="BW61" s="13"/>
      <c r="BX61" s="13"/>
    </row>
    <row r="62" spans="7:76" s="64" customFormat="1" x14ac:dyDescent="0.35">
      <c r="G62" s="128"/>
      <c r="H62" s="128"/>
      <c r="AN62" s="13"/>
      <c r="AO62" s="13"/>
      <c r="AP62" s="13"/>
      <c r="AQ62" s="13"/>
      <c r="AR62" s="13"/>
      <c r="AS62" s="13"/>
      <c r="AT62" s="13"/>
      <c r="AU62" s="13"/>
      <c r="AV62" s="13"/>
      <c r="AW62" s="13"/>
      <c r="AX62" s="13"/>
      <c r="AY62" s="13"/>
      <c r="AZ62" s="13"/>
      <c r="BA62" s="13"/>
      <c r="BB62" s="13"/>
      <c r="BC62" s="13"/>
      <c r="BD62" s="13"/>
      <c r="BE62" s="13"/>
      <c r="BF62" s="13"/>
      <c r="BG62" s="13"/>
      <c r="BH62" s="13"/>
      <c r="BI62" s="13"/>
      <c r="BJ62" s="13"/>
      <c r="BK62" s="13"/>
      <c r="BL62" s="13"/>
      <c r="BM62" s="13"/>
      <c r="BN62" s="13"/>
      <c r="BO62" s="13"/>
      <c r="BP62" s="13"/>
      <c r="BQ62" s="13"/>
      <c r="BR62" s="13"/>
      <c r="BS62" s="13"/>
      <c r="BT62" s="13"/>
      <c r="BU62" s="13"/>
      <c r="BV62" s="13"/>
      <c r="BW62" s="13"/>
      <c r="BX62" s="13"/>
    </row>
    <row r="63" spans="7:76" s="64" customFormat="1" x14ac:dyDescent="0.35">
      <c r="G63" s="128"/>
      <c r="H63" s="128"/>
      <c r="AN63" s="13"/>
      <c r="AO63" s="13"/>
      <c r="AP63" s="13"/>
      <c r="AQ63" s="13"/>
      <c r="AR63" s="13"/>
      <c r="AS63" s="13"/>
      <c r="AT63" s="13"/>
      <c r="AU63" s="13"/>
      <c r="AV63" s="13"/>
      <c r="AW63" s="13"/>
      <c r="AX63" s="13"/>
      <c r="AY63" s="13"/>
      <c r="AZ63" s="13"/>
      <c r="BA63" s="13"/>
      <c r="BB63" s="13"/>
      <c r="BC63" s="13"/>
      <c r="BD63" s="13"/>
      <c r="BE63" s="13"/>
      <c r="BF63" s="13"/>
      <c r="BG63" s="13"/>
      <c r="BH63" s="13"/>
      <c r="BI63" s="13"/>
      <c r="BJ63" s="13"/>
      <c r="BK63" s="13"/>
      <c r="BL63" s="13"/>
      <c r="BM63" s="13"/>
      <c r="BN63" s="13"/>
      <c r="BO63" s="13"/>
      <c r="BP63" s="13"/>
      <c r="BQ63" s="13"/>
      <c r="BR63" s="13"/>
      <c r="BS63" s="13"/>
      <c r="BT63" s="13"/>
      <c r="BU63" s="13"/>
      <c r="BV63" s="13"/>
      <c r="BW63" s="13"/>
      <c r="BX63" s="13"/>
    </row>
    <row r="64" spans="7:76" s="64" customFormat="1" x14ac:dyDescent="0.35">
      <c r="G64" s="128"/>
      <c r="H64" s="128"/>
      <c r="AN64" s="13"/>
      <c r="AO64" s="13"/>
      <c r="AP64" s="13"/>
      <c r="AQ64" s="13"/>
      <c r="AR64" s="13"/>
      <c r="AS64" s="13"/>
      <c r="AT64" s="13"/>
      <c r="AU64" s="13"/>
      <c r="AV64" s="13"/>
      <c r="AW64" s="13"/>
      <c r="AX64" s="13"/>
      <c r="AY64" s="13"/>
      <c r="AZ64" s="13"/>
      <c r="BA64" s="13"/>
      <c r="BB64" s="13"/>
      <c r="BC64" s="13"/>
      <c r="BD64" s="13"/>
      <c r="BE64" s="13"/>
      <c r="BF64" s="13"/>
      <c r="BG64" s="13"/>
      <c r="BH64" s="13"/>
      <c r="BI64" s="13"/>
      <c r="BJ64" s="13"/>
      <c r="BK64" s="13"/>
      <c r="BL64" s="13"/>
      <c r="BM64" s="13"/>
      <c r="BN64" s="13"/>
      <c r="BO64" s="13"/>
      <c r="BP64" s="13"/>
      <c r="BQ64" s="13"/>
      <c r="BR64" s="13"/>
      <c r="BS64" s="13"/>
      <c r="BT64" s="13"/>
      <c r="BU64" s="13"/>
      <c r="BV64" s="13"/>
      <c r="BW64" s="13"/>
      <c r="BX64" s="13"/>
    </row>
    <row r="65" spans="7:76" s="64" customFormat="1" x14ac:dyDescent="0.35">
      <c r="G65" s="128"/>
      <c r="H65" s="128"/>
      <c r="AN65" s="13"/>
      <c r="AO65" s="13"/>
      <c r="AP65" s="13"/>
      <c r="AQ65" s="13"/>
      <c r="AR65" s="13"/>
      <c r="AS65" s="13"/>
      <c r="AT65" s="13"/>
      <c r="AU65" s="13"/>
      <c r="AV65" s="13"/>
      <c r="AW65" s="13"/>
      <c r="AX65" s="13"/>
      <c r="AY65" s="13"/>
      <c r="AZ65" s="13"/>
      <c r="BA65" s="13"/>
      <c r="BB65" s="13"/>
      <c r="BC65" s="13"/>
      <c r="BD65" s="13"/>
      <c r="BE65" s="13"/>
      <c r="BF65" s="13"/>
      <c r="BG65" s="13"/>
      <c r="BH65" s="13"/>
      <c r="BI65" s="13"/>
      <c r="BJ65" s="13"/>
      <c r="BK65" s="13"/>
      <c r="BL65" s="13"/>
      <c r="BM65" s="13"/>
      <c r="BN65" s="13"/>
      <c r="BO65" s="13"/>
      <c r="BP65" s="13"/>
      <c r="BQ65" s="13"/>
      <c r="BR65" s="13"/>
      <c r="BS65" s="13"/>
      <c r="BT65" s="13"/>
      <c r="BU65" s="13"/>
      <c r="BV65" s="13"/>
      <c r="BW65" s="13"/>
      <c r="BX65" s="13"/>
    </row>
    <row r="66" spans="7:76" s="64" customFormat="1" x14ac:dyDescent="0.35">
      <c r="G66" s="128"/>
      <c r="H66" s="128"/>
      <c r="AN66" s="13"/>
      <c r="AO66" s="13"/>
      <c r="AP66" s="13"/>
      <c r="AQ66" s="13"/>
      <c r="AR66" s="13"/>
      <c r="AS66" s="13"/>
      <c r="AT66" s="13"/>
      <c r="AU66" s="13"/>
      <c r="AV66" s="13"/>
      <c r="AW66" s="13"/>
      <c r="AX66" s="13"/>
      <c r="AY66" s="13"/>
      <c r="AZ66" s="13"/>
      <c r="BA66" s="13"/>
      <c r="BB66" s="13"/>
      <c r="BC66" s="13"/>
      <c r="BD66" s="13"/>
      <c r="BE66" s="13"/>
      <c r="BF66" s="13"/>
      <c r="BG66" s="13"/>
      <c r="BH66" s="13"/>
      <c r="BI66" s="13"/>
      <c r="BJ66" s="13"/>
      <c r="BK66" s="13"/>
      <c r="BL66" s="13"/>
      <c r="BM66" s="13"/>
      <c r="BN66" s="13"/>
      <c r="BO66" s="13"/>
      <c r="BP66" s="13"/>
      <c r="BQ66" s="13"/>
      <c r="BR66" s="13"/>
      <c r="BS66" s="13"/>
      <c r="BT66" s="13"/>
      <c r="BU66" s="13"/>
      <c r="BV66" s="13"/>
      <c r="BW66" s="13"/>
      <c r="BX66" s="13"/>
    </row>
    <row r="67" spans="7:76" s="64" customFormat="1" x14ac:dyDescent="0.35">
      <c r="G67" s="128"/>
      <c r="H67" s="128"/>
      <c r="AN67" s="13"/>
      <c r="AO67" s="13"/>
      <c r="AP67" s="13"/>
      <c r="AQ67" s="13"/>
      <c r="AR67" s="13"/>
      <c r="AS67" s="13"/>
      <c r="AT67" s="13"/>
      <c r="AU67" s="13"/>
      <c r="AV67" s="13"/>
      <c r="AW67" s="13"/>
      <c r="AX67" s="13"/>
      <c r="AY67" s="13"/>
      <c r="AZ67" s="13"/>
      <c r="BA67" s="13"/>
      <c r="BB67" s="13"/>
      <c r="BC67" s="13"/>
      <c r="BD67" s="13"/>
      <c r="BE67" s="13"/>
      <c r="BF67" s="13"/>
      <c r="BG67" s="13"/>
      <c r="BH67" s="13"/>
      <c r="BI67" s="13"/>
      <c r="BJ67" s="13"/>
      <c r="BK67" s="13"/>
      <c r="BL67" s="13"/>
      <c r="BM67" s="13"/>
      <c r="BN67" s="13"/>
      <c r="BO67" s="13"/>
      <c r="BP67" s="13"/>
      <c r="BQ67" s="13"/>
      <c r="BR67" s="13"/>
      <c r="BS67" s="13"/>
      <c r="BT67" s="13"/>
      <c r="BU67" s="13"/>
      <c r="BV67" s="13"/>
      <c r="BW67" s="13"/>
      <c r="BX67" s="13"/>
    </row>
    <row r="68" spans="7:76" s="64" customFormat="1" x14ac:dyDescent="0.35">
      <c r="G68" s="128"/>
      <c r="H68" s="128"/>
      <c r="AN68" s="13"/>
      <c r="AO68" s="13"/>
      <c r="AP68" s="13"/>
      <c r="AQ68" s="13"/>
      <c r="AR68" s="13"/>
      <c r="AS68" s="13"/>
      <c r="AT68" s="13"/>
      <c r="AU68" s="13"/>
      <c r="AV68" s="13"/>
      <c r="AW68" s="13"/>
      <c r="AX68" s="13"/>
      <c r="AY68" s="13"/>
      <c r="AZ68" s="13"/>
      <c r="BA68" s="13"/>
      <c r="BB68" s="13"/>
      <c r="BC68" s="13"/>
      <c r="BD68" s="13"/>
      <c r="BE68" s="13"/>
      <c r="BF68" s="13"/>
      <c r="BG68" s="13"/>
      <c r="BH68" s="13"/>
      <c r="BI68" s="13"/>
      <c r="BJ68" s="13"/>
      <c r="BK68" s="13"/>
      <c r="BL68" s="13"/>
      <c r="BM68" s="13"/>
      <c r="BN68" s="13"/>
      <c r="BO68" s="13"/>
      <c r="BP68" s="13"/>
      <c r="BQ68" s="13"/>
      <c r="BR68" s="13"/>
      <c r="BS68" s="13"/>
      <c r="BT68" s="13"/>
      <c r="BU68" s="13"/>
      <c r="BV68" s="13"/>
      <c r="BW68" s="13"/>
      <c r="BX68" s="13"/>
    </row>
    <row r="69" spans="7:76" s="64" customFormat="1" x14ac:dyDescent="0.35">
      <c r="G69" s="128"/>
      <c r="H69" s="128"/>
      <c r="AN69" s="13"/>
      <c r="AO69" s="13"/>
      <c r="AP69" s="13"/>
      <c r="AQ69" s="13"/>
      <c r="AR69" s="13"/>
      <c r="AS69" s="13"/>
      <c r="AT69" s="13"/>
      <c r="AU69" s="13"/>
      <c r="AV69" s="13"/>
      <c r="AW69" s="13"/>
      <c r="AX69" s="13"/>
      <c r="AY69" s="13"/>
      <c r="AZ69" s="13"/>
      <c r="BA69" s="13"/>
      <c r="BB69" s="13"/>
      <c r="BC69" s="13"/>
      <c r="BD69" s="13"/>
      <c r="BE69" s="13"/>
      <c r="BF69" s="13"/>
      <c r="BG69" s="13"/>
      <c r="BH69" s="13"/>
      <c r="BI69" s="13"/>
      <c r="BJ69" s="13"/>
      <c r="BK69" s="13"/>
      <c r="BL69" s="13"/>
      <c r="BM69" s="13"/>
      <c r="BN69" s="13"/>
      <c r="BO69" s="13"/>
      <c r="BP69" s="13"/>
      <c r="BQ69" s="13"/>
      <c r="BR69" s="13"/>
      <c r="BS69" s="13"/>
      <c r="BT69" s="13"/>
      <c r="BU69" s="13"/>
      <c r="BV69" s="13"/>
      <c r="BW69" s="13"/>
      <c r="BX69" s="13"/>
    </row>
    <row r="70" spans="7:76" s="64" customFormat="1" x14ac:dyDescent="0.35">
      <c r="G70" s="128"/>
      <c r="H70" s="128"/>
      <c r="AN70" s="13"/>
      <c r="AO70" s="13"/>
      <c r="AP70" s="13"/>
      <c r="AQ70" s="13"/>
      <c r="AR70" s="13"/>
      <c r="AS70" s="13"/>
      <c r="AT70" s="13"/>
      <c r="AU70" s="13"/>
      <c r="AV70" s="13"/>
      <c r="AW70" s="13"/>
      <c r="AX70" s="13"/>
      <c r="AY70" s="13"/>
      <c r="AZ70" s="13"/>
      <c r="BA70" s="13"/>
      <c r="BB70" s="13"/>
      <c r="BC70" s="13"/>
      <c r="BD70" s="13"/>
      <c r="BE70" s="13"/>
      <c r="BF70" s="13"/>
      <c r="BG70" s="13"/>
      <c r="BH70" s="13"/>
      <c r="BI70" s="13"/>
      <c r="BJ70" s="13"/>
      <c r="BK70" s="13"/>
      <c r="BL70" s="13"/>
      <c r="BM70" s="13"/>
      <c r="BN70" s="13"/>
      <c r="BO70" s="13"/>
      <c r="BP70" s="13"/>
      <c r="BQ70" s="13"/>
      <c r="BR70" s="13"/>
      <c r="BS70" s="13"/>
      <c r="BT70" s="13"/>
      <c r="BU70" s="13"/>
      <c r="BV70" s="13"/>
      <c r="BW70" s="13"/>
      <c r="BX70" s="13"/>
    </row>
    <row r="71" spans="7:76" s="64" customFormat="1" x14ac:dyDescent="0.35">
      <c r="G71" s="128"/>
      <c r="H71" s="128"/>
      <c r="AN71" s="13"/>
      <c r="AO71" s="13"/>
      <c r="AP71" s="13"/>
      <c r="AQ71" s="13"/>
      <c r="AR71" s="13"/>
      <c r="AS71" s="13"/>
      <c r="AT71" s="13"/>
      <c r="AU71" s="13"/>
      <c r="AV71" s="13"/>
      <c r="AW71" s="13"/>
      <c r="AX71" s="13"/>
      <c r="AY71" s="13"/>
      <c r="AZ71" s="13"/>
      <c r="BA71" s="13"/>
      <c r="BB71" s="13"/>
      <c r="BC71" s="13"/>
      <c r="BD71" s="13"/>
      <c r="BE71" s="13"/>
      <c r="BF71" s="13"/>
      <c r="BG71" s="13"/>
      <c r="BH71" s="13"/>
      <c r="BI71" s="13"/>
      <c r="BJ71" s="13"/>
      <c r="BK71" s="13"/>
      <c r="BL71" s="13"/>
      <c r="BM71" s="13"/>
      <c r="BN71" s="13"/>
      <c r="BO71" s="13"/>
      <c r="BP71" s="13"/>
      <c r="BQ71" s="13"/>
      <c r="BR71" s="13"/>
      <c r="BS71" s="13"/>
      <c r="BT71" s="13"/>
      <c r="BU71" s="13"/>
      <c r="BV71" s="13"/>
      <c r="BW71" s="13"/>
      <c r="BX71" s="13"/>
    </row>
    <row r="72" spans="7:76" s="64" customFormat="1" x14ac:dyDescent="0.35">
      <c r="G72" s="128"/>
      <c r="H72" s="128"/>
      <c r="AN72" s="13"/>
      <c r="AO72" s="13"/>
      <c r="AP72" s="13"/>
      <c r="AQ72" s="13"/>
      <c r="AR72" s="13"/>
      <c r="AS72" s="13"/>
      <c r="AT72" s="13"/>
      <c r="AU72" s="13"/>
      <c r="AV72" s="13"/>
      <c r="AW72" s="13"/>
      <c r="AX72" s="13"/>
      <c r="AY72" s="13"/>
      <c r="AZ72" s="13"/>
      <c r="BA72" s="13"/>
      <c r="BB72" s="13"/>
      <c r="BC72" s="13"/>
      <c r="BD72" s="13"/>
      <c r="BE72" s="13"/>
      <c r="BF72" s="13"/>
      <c r="BG72" s="13"/>
      <c r="BH72" s="13"/>
      <c r="BI72" s="13"/>
      <c r="BJ72" s="13"/>
      <c r="BK72" s="13"/>
      <c r="BL72" s="13"/>
      <c r="BM72" s="13"/>
      <c r="BN72" s="13"/>
      <c r="BO72" s="13"/>
      <c r="BP72" s="13"/>
      <c r="BQ72" s="13"/>
      <c r="BR72" s="13"/>
      <c r="BS72" s="13"/>
      <c r="BT72" s="13"/>
      <c r="BU72" s="13"/>
      <c r="BV72" s="13"/>
      <c r="BW72" s="13"/>
      <c r="BX72" s="13"/>
    </row>
    <row r="73" spans="7:76" s="64" customFormat="1" x14ac:dyDescent="0.35">
      <c r="G73" s="128"/>
      <c r="H73" s="128"/>
      <c r="AN73" s="13"/>
      <c r="AO73" s="13"/>
      <c r="AP73" s="13"/>
      <c r="AQ73" s="13"/>
      <c r="AR73" s="13"/>
      <c r="AS73" s="13"/>
      <c r="AT73" s="13"/>
      <c r="AU73" s="13"/>
      <c r="AV73" s="13"/>
      <c r="AW73" s="13"/>
      <c r="AX73" s="13"/>
      <c r="AY73" s="13"/>
      <c r="AZ73" s="13"/>
      <c r="BA73" s="13"/>
      <c r="BB73" s="13"/>
      <c r="BC73" s="13"/>
      <c r="BD73" s="13"/>
      <c r="BE73" s="13"/>
      <c r="BF73" s="13"/>
      <c r="BG73" s="13"/>
      <c r="BH73" s="13"/>
      <c r="BI73" s="13"/>
      <c r="BJ73" s="13"/>
      <c r="BK73" s="13"/>
      <c r="BL73" s="13"/>
      <c r="BM73" s="13"/>
      <c r="BN73" s="13"/>
      <c r="BO73" s="13"/>
      <c r="BP73" s="13"/>
      <c r="BQ73" s="13"/>
      <c r="BR73" s="13"/>
      <c r="BS73" s="13"/>
      <c r="BT73" s="13"/>
      <c r="BU73" s="13"/>
      <c r="BV73" s="13"/>
      <c r="BW73" s="13"/>
      <c r="BX73" s="13"/>
    </row>
    <row r="74" spans="7:76" s="64" customFormat="1" x14ac:dyDescent="0.35">
      <c r="G74" s="128"/>
      <c r="H74" s="128"/>
      <c r="AN74" s="13"/>
      <c r="AO74" s="13"/>
      <c r="AP74" s="13"/>
      <c r="AQ74" s="13"/>
      <c r="AR74" s="13"/>
      <c r="AS74" s="13"/>
      <c r="AT74" s="13"/>
      <c r="AU74" s="13"/>
      <c r="AV74" s="13"/>
      <c r="AW74" s="13"/>
      <c r="AX74" s="13"/>
      <c r="AY74" s="13"/>
      <c r="AZ74" s="13"/>
      <c r="BA74" s="13"/>
      <c r="BB74" s="13"/>
      <c r="BC74" s="13"/>
      <c r="BD74" s="13"/>
      <c r="BE74" s="13"/>
      <c r="BF74" s="13"/>
      <c r="BG74" s="13"/>
      <c r="BH74" s="13"/>
      <c r="BI74" s="13"/>
      <c r="BJ74" s="13"/>
      <c r="BK74" s="13"/>
      <c r="BL74" s="13"/>
      <c r="BM74" s="13"/>
      <c r="BN74" s="13"/>
      <c r="BO74" s="13"/>
      <c r="BP74" s="13"/>
      <c r="BQ74" s="13"/>
      <c r="BR74" s="13"/>
      <c r="BS74" s="13"/>
      <c r="BT74" s="13"/>
      <c r="BU74" s="13"/>
      <c r="BV74" s="13"/>
      <c r="BW74" s="13"/>
      <c r="BX74" s="13"/>
    </row>
    <row r="75" spans="7:76" s="64" customFormat="1" x14ac:dyDescent="0.35">
      <c r="G75" s="128"/>
      <c r="H75" s="128"/>
      <c r="AN75" s="13"/>
      <c r="AO75" s="13"/>
      <c r="AP75" s="13"/>
      <c r="AQ75" s="13"/>
      <c r="AR75" s="13"/>
      <c r="AS75" s="13"/>
      <c r="AT75" s="13"/>
      <c r="AU75" s="13"/>
      <c r="AV75" s="13"/>
      <c r="AW75" s="13"/>
      <c r="AX75" s="13"/>
      <c r="AY75" s="13"/>
      <c r="AZ75" s="13"/>
      <c r="BA75" s="13"/>
      <c r="BB75" s="13"/>
      <c r="BC75" s="13"/>
      <c r="BD75" s="13"/>
      <c r="BE75" s="13"/>
      <c r="BF75" s="13"/>
      <c r="BG75" s="13"/>
      <c r="BH75" s="13"/>
      <c r="BI75" s="13"/>
      <c r="BJ75" s="13"/>
      <c r="BK75" s="13"/>
      <c r="BL75" s="13"/>
      <c r="BM75" s="13"/>
      <c r="BN75" s="13"/>
      <c r="BO75" s="13"/>
      <c r="BP75" s="13"/>
      <c r="BQ75" s="13"/>
      <c r="BR75" s="13"/>
      <c r="BS75" s="13"/>
      <c r="BT75" s="13"/>
      <c r="BU75" s="13"/>
      <c r="BV75" s="13"/>
      <c r="BW75" s="13"/>
      <c r="BX75" s="13"/>
    </row>
    <row r="76" spans="7:76" s="64" customFormat="1" x14ac:dyDescent="0.35">
      <c r="G76" s="128"/>
      <c r="H76" s="128"/>
      <c r="AN76" s="13"/>
      <c r="AO76" s="13"/>
      <c r="AP76" s="13"/>
      <c r="AQ76" s="13"/>
      <c r="AR76" s="13"/>
      <c r="AS76" s="13"/>
      <c r="AT76" s="13"/>
      <c r="AU76" s="13"/>
      <c r="AV76" s="13"/>
      <c r="AW76" s="13"/>
      <c r="AX76" s="13"/>
      <c r="AY76" s="13"/>
      <c r="AZ76" s="13"/>
      <c r="BA76" s="13"/>
      <c r="BB76" s="13"/>
      <c r="BC76" s="13"/>
      <c r="BD76" s="13"/>
      <c r="BE76" s="13"/>
      <c r="BF76" s="13"/>
      <c r="BG76" s="13"/>
      <c r="BH76" s="13"/>
      <c r="BI76" s="13"/>
      <c r="BJ76" s="13"/>
      <c r="BK76" s="13"/>
      <c r="BL76" s="13"/>
      <c r="BM76" s="13"/>
      <c r="BN76" s="13"/>
      <c r="BO76" s="13"/>
      <c r="BP76" s="13"/>
      <c r="BQ76" s="13"/>
      <c r="BR76" s="13"/>
      <c r="BS76" s="13"/>
      <c r="BT76" s="13"/>
      <c r="BU76" s="13"/>
      <c r="BV76" s="13"/>
      <c r="BW76" s="13"/>
      <c r="BX76" s="13"/>
    </row>
    <row r="77" spans="7:76" s="64" customFormat="1" x14ac:dyDescent="0.35">
      <c r="G77" s="128"/>
      <c r="H77" s="128"/>
      <c r="AN77" s="13"/>
      <c r="AO77" s="13"/>
      <c r="AP77" s="13"/>
      <c r="AQ77" s="13"/>
      <c r="AR77" s="13"/>
      <c r="AS77" s="13"/>
      <c r="AT77" s="13"/>
      <c r="AU77" s="13"/>
      <c r="AV77" s="13"/>
      <c r="AW77" s="13"/>
      <c r="AX77" s="13"/>
      <c r="AY77" s="13"/>
      <c r="AZ77" s="13"/>
      <c r="BA77" s="13"/>
      <c r="BB77" s="13"/>
      <c r="BC77" s="13"/>
      <c r="BD77" s="13"/>
      <c r="BE77" s="13"/>
      <c r="BF77" s="13"/>
      <c r="BG77" s="13"/>
      <c r="BH77" s="13"/>
      <c r="BI77" s="13"/>
      <c r="BJ77" s="13"/>
      <c r="BK77" s="13"/>
      <c r="BL77" s="13"/>
      <c r="BM77" s="13"/>
      <c r="BN77" s="13"/>
      <c r="BO77" s="13"/>
      <c r="BP77" s="13"/>
      <c r="BQ77" s="13"/>
      <c r="BR77" s="13"/>
      <c r="BS77" s="13"/>
      <c r="BT77" s="13"/>
      <c r="BU77" s="13"/>
      <c r="BV77" s="13"/>
      <c r="BW77" s="13"/>
      <c r="BX77" s="13"/>
    </row>
    <row r="78" spans="7:76" s="64" customFormat="1" x14ac:dyDescent="0.35">
      <c r="G78" s="128"/>
      <c r="H78" s="128"/>
      <c r="AN78" s="13"/>
      <c r="AO78" s="13"/>
      <c r="AP78" s="13"/>
      <c r="AQ78" s="13"/>
      <c r="AR78" s="13"/>
      <c r="AS78" s="13"/>
      <c r="AT78" s="13"/>
      <c r="AU78" s="13"/>
      <c r="AV78" s="13"/>
      <c r="AW78" s="13"/>
      <c r="AX78" s="13"/>
      <c r="AY78" s="13"/>
      <c r="AZ78" s="13"/>
      <c r="BA78" s="13"/>
      <c r="BB78" s="13"/>
      <c r="BC78" s="13"/>
      <c r="BD78" s="13"/>
      <c r="BE78" s="13"/>
      <c r="BF78" s="13"/>
      <c r="BG78" s="13"/>
      <c r="BH78" s="13"/>
      <c r="BI78" s="13"/>
      <c r="BJ78" s="13"/>
      <c r="BK78" s="13"/>
      <c r="BL78" s="13"/>
      <c r="BM78" s="13"/>
      <c r="BN78" s="13"/>
      <c r="BO78" s="13"/>
      <c r="BP78" s="13"/>
      <c r="BQ78" s="13"/>
      <c r="BR78" s="13"/>
      <c r="BS78" s="13"/>
      <c r="BT78" s="13"/>
      <c r="BU78" s="13"/>
      <c r="BV78" s="13"/>
      <c r="BW78" s="13"/>
      <c r="BX78" s="13"/>
    </row>
    <row r="79" spans="7:76" s="64" customFormat="1" x14ac:dyDescent="0.35">
      <c r="G79" s="128"/>
      <c r="H79" s="128"/>
      <c r="AN79" s="13"/>
      <c r="AO79" s="13"/>
      <c r="AP79" s="13"/>
      <c r="AQ79" s="13"/>
      <c r="AR79" s="13"/>
      <c r="AS79" s="13"/>
      <c r="AT79" s="13"/>
      <c r="AU79" s="13"/>
      <c r="AV79" s="13"/>
      <c r="AW79" s="13"/>
      <c r="AX79" s="13"/>
      <c r="AY79" s="13"/>
      <c r="AZ79" s="13"/>
      <c r="BA79" s="13"/>
      <c r="BB79" s="13"/>
      <c r="BC79" s="13"/>
      <c r="BD79" s="13"/>
      <c r="BE79" s="13"/>
      <c r="BF79" s="13"/>
      <c r="BG79" s="13"/>
      <c r="BH79" s="13"/>
      <c r="BI79" s="13"/>
      <c r="BJ79" s="13"/>
      <c r="BK79" s="13"/>
      <c r="BL79" s="13"/>
      <c r="BM79" s="13"/>
      <c r="BN79" s="13"/>
      <c r="BO79" s="13"/>
      <c r="BP79" s="13"/>
      <c r="BQ79" s="13"/>
      <c r="BR79" s="13"/>
      <c r="BS79" s="13"/>
      <c r="BT79" s="13"/>
      <c r="BU79" s="13"/>
      <c r="BV79" s="13"/>
      <c r="BW79" s="13"/>
      <c r="BX79" s="13"/>
    </row>
    <row r="80" spans="7:76" s="64" customFormat="1" x14ac:dyDescent="0.35">
      <c r="G80" s="128"/>
      <c r="H80" s="128"/>
      <c r="AN80" s="13"/>
      <c r="AO80" s="13"/>
      <c r="AP80" s="13"/>
      <c r="AQ80" s="13"/>
      <c r="AR80" s="13"/>
      <c r="AS80" s="13"/>
      <c r="AT80" s="13"/>
      <c r="AU80" s="13"/>
      <c r="AV80" s="13"/>
      <c r="AW80" s="13"/>
      <c r="AX80" s="13"/>
      <c r="AY80" s="13"/>
      <c r="AZ80" s="13"/>
      <c r="BA80" s="13"/>
      <c r="BB80" s="13"/>
      <c r="BC80" s="13"/>
      <c r="BD80" s="13"/>
      <c r="BE80" s="13"/>
      <c r="BF80" s="13"/>
      <c r="BG80" s="13"/>
      <c r="BH80" s="13"/>
      <c r="BI80" s="13"/>
      <c r="BJ80" s="13"/>
      <c r="BK80" s="13"/>
      <c r="BL80" s="13"/>
      <c r="BM80" s="13"/>
      <c r="BN80" s="13"/>
      <c r="BO80" s="13"/>
      <c r="BP80" s="13"/>
      <c r="BQ80" s="13"/>
      <c r="BR80" s="13"/>
      <c r="BS80" s="13"/>
      <c r="BT80" s="13"/>
      <c r="BU80" s="13"/>
      <c r="BV80" s="13"/>
      <c r="BW80" s="13"/>
      <c r="BX80" s="13"/>
    </row>
    <row r="81" spans="7:76" s="64" customFormat="1" x14ac:dyDescent="0.35">
      <c r="G81" s="128"/>
      <c r="H81" s="128"/>
      <c r="AN81" s="13"/>
      <c r="AO81" s="13"/>
      <c r="AP81" s="13"/>
      <c r="AQ81" s="13"/>
      <c r="AR81" s="13"/>
      <c r="AS81" s="13"/>
      <c r="AT81" s="13"/>
      <c r="AU81" s="13"/>
      <c r="AV81" s="13"/>
      <c r="AW81" s="13"/>
      <c r="AX81" s="13"/>
      <c r="AY81" s="13"/>
      <c r="AZ81" s="13"/>
      <c r="BA81" s="13"/>
      <c r="BB81" s="13"/>
      <c r="BC81" s="13"/>
      <c r="BD81" s="13"/>
      <c r="BE81" s="13"/>
      <c r="BF81" s="13"/>
      <c r="BG81" s="13"/>
      <c r="BH81" s="13"/>
      <c r="BI81" s="13"/>
      <c r="BJ81" s="13"/>
      <c r="BK81" s="13"/>
      <c r="BL81" s="13"/>
      <c r="BM81" s="13"/>
      <c r="BN81" s="13"/>
      <c r="BO81" s="13"/>
      <c r="BP81" s="13"/>
      <c r="BQ81" s="13"/>
      <c r="BR81" s="13"/>
      <c r="BS81" s="13"/>
      <c r="BT81" s="13"/>
      <c r="BU81" s="13"/>
      <c r="BV81" s="13"/>
      <c r="BW81" s="13"/>
      <c r="BX81" s="13"/>
    </row>
    <row r="82" spans="7:76" s="64" customFormat="1" x14ac:dyDescent="0.35">
      <c r="G82" s="128"/>
      <c r="H82" s="128"/>
      <c r="AN82" s="13"/>
      <c r="AO82" s="13"/>
      <c r="AP82" s="13"/>
      <c r="AQ82" s="13"/>
      <c r="AR82" s="13"/>
      <c r="AS82" s="13"/>
      <c r="AT82" s="13"/>
      <c r="AU82" s="13"/>
      <c r="AV82" s="13"/>
      <c r="AW82" s="13"/>
      <c r="AX82" s="13"/>
      <c r="AY82" s="13"/>
      <c r="AZ82" s="13"/>
      <c r="BA82" s="13"/>
      <c r="BB82" s="13"/>
      <c r="BC82" s="13"/>
      <c r="BD82" s="13"/>
      <c r="BE82" s="13"/>
      <c r="BF82" s="13"/>
      <c r="BG82" s="13"/>
      <c r="BH82" s="13"/>
      <c r="BI82" s="13"/>
      <c r="BJ82" s="13"/>
      <c r="BK82" s="13"/>
      <c r="BL82" s="13"/>
      <c r="BM82" s="13"/>
      <c r="BN82" s="13"/>
      <c r="BO82" s="13"/>
      <c r="BP82" s="13"/>
      <c r="BQ82" s="13"/>
      <c r="BR82" s="13"/>
      <c r="BS82" s="13"/>
      <c r="BT82" s="13"/>
      <c r="BU82" s="13"/>
      <c r="BV82" s="13"/>
      <c r="BW82" s="13"/>
      <c r="BX82" s="13"/>
    </row>
    <row r="83" spans="7:76" s="64" customFormat="1" x14ac:dyDescent="0.35">
      <c r="G83" s="128"/>
      <c r="H83" s="128"/>
      <c r="AN83" s="13"/>
      <c r="AO83" s="13"/>
      <c r="AP83" s="13"/>
      <c r="AQ83" s="13"/>
      <c r="AR83" s="13"/>
      <c r="AS83" s="13"/>
      <c r="AT83" s="13"/>
      <c r="AU83" s="13"/>
      <c r="AV83" s="13"/>
      <c r="AW83" s="13"/>
      <c r="AX83" s="13"/>
      <c r="AY83" s="13"/>
      <c r="AZ83" s="13"/>
      <c r="BA83" s="13"/>
      <c r="BB83" s="13"/>
      <c r="BC83" s="13"/>
      <c r="BD83" s="13"/>
      <c r="BE83" s="13"/>
      <c r="BF83" s="13"/>
      <c r="BG83" s="13"/>
      <c r="BH83" s="13"/>
      <c r="BI83" s="13"/>
      <c r="BJ83" s="13"/>
      <c r="BK83" s="13"/>
      <c r="BL83" s="13"/>
      <c r="BM83" s="13"/>
      <c r="BN83" s="13"/>
      <c r="BO83" s="13"/>
      <c r="BP83" s="13"/>
      <c r="BQ83" s="13"/>
      <c r="BR83" s="13"/>
      <c r="BS83" s="13"/>
      <c r="BT83" s="13"/>
      <c r="BU83" s="13"/>
      <c r="BV83" s="13"/>
      <c r="BW83" s="13"/>
      <c r="BX83" s="13"/>
    </row>
    <row r="84" spans="7:76" s="64" customFormat="1" x14ac:dyDescent="0.35">
      <c r="G84" s="128"/>
      <c r="H84" s="128"/>
      <c r="AN84" s="13"/>
      <c r="AO84" s="13"/>
      <c r="AP84" s="13"/>
      <c r="AQ84" s="13"/>
      <c r="AR84" s="13"/>
      <c r="AS84" s="13"/>
      <c r="AT84" s="13"/>
      <c r="AU84" s="13"/>
      <c r="AV84" s="13"/>
      <c r="AW84" s="13"/>
      <c r="AX84" s="13"/>
      <c r="AY84" s="13"/>
      <c r="AZ84" s="13"/>
      <c r="BA84" s="13"/>
      <c r="BB84" s="13"/>
      <c r="BC84" s="13"/>
      <c r="BD84" s="13"/>
      <c r="BE84" s="13"/>
      <c r="BF84" s="13"/>
      <c r="BG84" s="13"/>
      <c r="BH84" s="13"/>
      <c r="BI84" s="13"/>
      <c r="BJ84" s="13"/>
      <c r="BK84" s="13"/>
      <c r="BL84" s="13"/>
      <c r="BM84" s="13"/>
      <c r="BN84" s="13"/>
      <c r="BO84" s="13"/>
      <c r="BP84" s="13"/>
      <c r="BQ84" s="13"/>
      <c r="BR84" s="13"/>
      <c r="BS84" s="13"/>
      <c r="BT84" s="13"/>
      <c r="BU84" s="13"/>
      <c r="BV84" s="13"/>
      <c r="BW84" s="13"/>
      <c r="BX84" s="13"/>
    </row>
    <row r="85" spans="7:76" s="64" customFormat="1" x14ac:dyDescent="0.35">
      <c r="G85" s="128"/>
      <c r="H85" s="128"/>
      <c r="AN85" s="13"/>
      <c r="AO85" s="13"/>
      <c r="AP85" s="13"/>
      <c r="AQ85" s="13"/>
      <c r="AR85" s="13"/>
      <c r="AS85" s="13"/>
      <c r="AT85" s="13"/>
      <c r="AU85" s="13"/>
      <c r="AV85" s="13"/>
      <c r="AW85" s="13"/>
      <c r="AX85" s="13"/>
      <c r="AY85" s="13"/>
      <c r="AZ85" s="13"/>
      <c r="BA85" s="13"/>
      <c r="BB85" s="13"/>
      <c r="BC85" s="13"/>
      <c r="BD85" s="13"/>
      <c r="BE85" s="13"/>
      <c r="BF85" s="13"/>
      <c r="BG85" s="13"/>
      <c r="BH85" s="13"/>
      <c r="BI85" s="13"/>
      <c r="BJ85" s="13"/>
      <c r="BK85" s="13"/>
      <c r="BL85" s="13"/>
      <c r="BM85" s="13"/>
      <c r="BN85" s="13"/>
      <c r="BO85" s="13"/>
      <c r="BP85" s="13"/>
      <c r="BQ85" s="13"/>
      <c r="BR85" s="13"/>
      <c r="BS85" s="13"/>
      <c r="BT85" s="13"/>
      <c r="BU85" s="13"/>
      <c r="BV85" s="13"/>
      <c r="BW85" s="13"/>
      <c r="BX85" s="13"/>
    </row>
    <row r="86" spans="7:76" s="64" customFormat="1" x14ac:dyDescent="0.35">
      <c r="G86" s="128"/>
      <c r="H86" s="128"/>
      <c r="AN86" s="13"/>
      <c r="AO86" s="13"/>
      <c r="AP86" s="13"/>
      <c r="AQ86" s="13"/>
      <c r="AR86" s="13"/>
      <c r="AS86" s="13"/>
      <c r="AT86" s="13"/>
      <c r="AU86" s="13"/>
      <c r="AV86" s="13"/>
      <c r="AW86" s="13"/>
      <c r="AX86" s="13"/>
      <c r="AY86" s="13"/>
      <c r="AZ86" s="13"/>
      <c r="BA86" s="13"/>
      <c r="BB86" s="13"/>
      <c r="BC86" s="13"/>
      <c r="BD86" s="13"/>
      <c r="BE86" s="13"/>
      <c r="BF86" s="13"/>
      <c r="BG86" s="13"/>
      <c r="BH86" s="13"/>
      <c r="BI86" s="13"/>
      <c r="BJ86" s="13"/>
      <c r="BK86" s="13"/>
      <c r="BL86" s="13"/>
      <c r="BM86" s="13"/>
      <c r="BN86" s="13"/>
      <c r="BO86" s="13"/>
      <c r="BP86" s="13"/>
      <c r="BQ86" s="13"/>
      <c r="BR86" s="13"/>
      <c r="BS86" s="13"/>
      <c r="BT86" s="13"/>
      <c r="BU86" s="13"/>
      <c r="BV86" s="13"/>
      <c r="BW86" s="13"/>
      <c r="BX86" s="13"/>
    </row>
    <row r="87" spans="7:76" s="64" customFormat="1" x14ac:dyDescent="0.35">
      <c r="G87" s="128"/>
      <c r="H87" s="128"/>
      <c r="AN87" s="13"/>
      <c r="AO87" s="13"/>
      <c r="AP87" s="13"/>
      <c r="AQ87" s="13"/>
      <c r="AR87" s="13"/>
      <c r="AS87" s="13"/>
      <c r="AT87" s="13"/>
      <c r="AU87" s="13"/>
      <c r="AV87" s="13"/>
      <c r="AW87" s="13"/>
      <c r="AX87" s="13"/>
      <c r="AY87" s="13"/>
      <c r="AZ87" s="13"/>
      <c r="BA87" s="13"/>
      <c r="BB87" s="13"/>
      <c r="BC87" s="13"/>
      <c r="BD87" s="13"/>
      <c r="BE87" s="13"/>
      <c r="BF87" s="13"/>
      <c r="BG87" s="13"/>
      <c r="BH87" s="13"/>
      <c r="BI87" s="13"/>
      <c r="BJ87" s="13"/>
      <c r="BK87" s="13"/>
      <c r="BL87" s="13"/>
      <c r="BM87" s="13"/>
      <c r="BN87" s="13"/>
      <c r="BO87" s="13"/>
      <c r="BP87" s="13"/>
      <c r="BQ87" s="13"/>
      <c r="BR87" s="13"/>
      <c r="BS87" s="13"/>
      <c r="BT87" s="13"/>
      <c r="BU87" s="13"/>
      <c r="BV87" s="13"/>
      <c r="BW87" s="13"/>
      <c r="BX87" s="13"/>
    </row>
    <row r="88" spans="7:76" s="64" customFormat="1" x14ac:dyDescent="0.35">
      <c r="G88" s="128"/>
      <c r="H88" s="128"/>
      <c r="AN88" s="13"/>
      <c r="AO88" s="13"/>
      <c r="AP88" s="13"/>
      <c r="AQ88" s="13"/>
      <c r="AR88" s="13"/>
      <c r="AS88" s="13"/>
      <c r="AT88" s="13"/>
      <c r="AU88" s="13"/>
      <c r="AV88" s="13"/>
      <c r="AW88" s="13"/>
      <c r="AX88" s="13"/>
      <c r="AY88" s="13"/>
      <c r="AZ88" s="13"/>
      <c r="BA88" s="13"/>
      <c r="BB88" s="13"/>
      <c r="BC88" s="13"/>
      <c r="BD88" s="13"/>
      <c r="BE88" s="13"/>
      <c r="BF88" s="13"/>
      <c r="BG88" s="13"/>
      <c r="BH88" s="13"/>
      <c r="BI88" s="13"/>
      <c r="BJ88" s="13"/>
      <c r="BK88" s="13"/>
      <c r="BL88" s="13"/>
      <c r="BM88" s="13"/>
      <c r="BN88" s="13"/>
      <c r="BO88" s="13"/>
      <c r="BP88" s="13"/>
      <c r="BQ88" s="13"/>
      <c r="BR88" s="13"/>
      <c r="BS88" s="13"/>
      <c r="BT88" s="13"/>
      <c r="BU88" s="13"/>
      <c r="BV88" s="13"/>
      <c r="BW88" s="13"/>
      <c r="BX88" s="13"/>
    </row>
    <row r="89" spans="7:76" s="64" customFormat="1" x14ac:dyDescent="0.35">
      <c r="G89" s="128"/>
      <c r="H89" s="128"/>
      <c r="AN89" s="13"/>
      <c r="AO89" s="13"/>
      <c r="AP89" s="13"/>
      <c r="AQ89" s="13"/>
      <c r="AR89" s="13"/>
      <c r="AS89" s="13"/>
      <c r="AT89" s="13"/>
      <c r="AU89" s="13"/>
      <c r="AV89" s="13"/>
      <c r="AW89" s="13"/>
      <c r="AX89" s="13"/>
      <c r="AY89" s="13"/>
      <c r="AZ89" s="13"/>
      <c r="BA89" s="13"/>
      <c r="BB89" s="13"/>
      <c r="BC89" s="13"/>
      <c r="BD89" s="13"/>
      <c r="BE89" s="13"/>
      <c r="BF89" s="13"/>
      <c r="BG89" s="13"/>
      <c r="BH89" s="13"/>
      <c r="BI89" s="13"/>
      <c r="BJ89" s="13"/>
      <c r="BK89" s="13"/>
      <c r="BL89" s="13"/>
      <c r="BM89" s="13"/>
      <c r="BN89" s="13"/>
      <c r="BO89" s="13"/>
      <c r="BP89" s="13"/>
      <c r="BQ89" s="13"/>
      <c r="BR89" s="13"/>
      <c r="BS89" s="13"/>
      <c r="BT89" s="13"/>
      <c r="BU89" s="13"/>
      <c r="BV89" s="13"/>
      <c r="BW89" s="13"/>
      <c r="BX89" s="13"/>
    </row>
    <row r="90" spans="7:76" s="64" customFormat="1" x14ac:dyDescent="0.35">
      <c r="G90" s="128"/>
      <c r="H90" s="128"/>
      <c r="AN90" s="13"/>
      <c r="AO90" s="13"/>
      <c r="AP90" s="13"/>
      <c r="AQ90" s="13"/>
      <c r="AR90" s="13"/>
      <c r="AS90" s="13"/>
      <c r="AT90" s="13"/>
      <c r="AU90" s="13"/>
      <c r="AV90" s="13"/>
      <c r="AW90" s="13"/>
      <c r="AX90" s="13"/>
      <c r="AY90" s="13"/>
      <c r="AZ90" s="13"/>
      <c r="BA90" s="13"/>
      <c r="BB90" s="13"/>
      <c r="BC90" s="13"/>
      <c r="BD90" s="13"/>
      <c r="BE90" s="13"/>
      <c r="BF90" s="13"/>
      <c r="BG90" s="13"/>
      <c r="BH90" s="13"/>
      <c r="BI90" s="13"/>
      <c r="BJ90" s="13"/>
      <c r="BK90" s="13"/>
      <c r="BL90" s="13"/>
      <c r="BM90" s="13"/>
      <c r="BN90" s="13"/>
      <c r="BO90" s="13"/>
      <c r="BP90" s="13"/>
      <c r="BQ90" s="13"/>
      <c r="BR90" s="13"/>
      <c r="BS90" s="13"/>
      <c r="BT90" s="13"/>
      <c r="BU90" s="13"/>
      <c r="BV90" s="13"/>
      <c r="BW90" s="13"/>
      <c r="BX90" s="13"/>
    </row>
    <row r="91" spans="7:76" s="64" customFormat="1" x14ac:dyDescent="0.35">
      <c r="G91" s="128"/>
      <c r="H91" s="128"/>
      <c r="AN91" s="13"/>
      <c r="AO91" s="13"/>
      <c r="AP91" s="13"/>
      <c r="AQ91" s="13"/>
      <c r="AR91" s="13"/>
      <c r="AS91" s="13"/>
      <c r="AT91" s="13"/>
      <c r="AU91" s="13"/>
      <c r="AV91" s="13"/>
      <c r="AW91" s="13"/>
      <c r="AX91" s="13"/>
      <c r="AY91" s="13"/>
      <c r="AZ91" s="13"/>
      <c r="BA91" s="13"/>
      <c r="BB91" s="13"/>
      <c r="BC91" s="13"/>
      <c r="BD91" s="13"/>
      <c r="BE91" s="13"/>
      <c r="BF91" s="13"/>
      <c r="BG91" s="13"/>
      <c r="BH91" s="13"/>
      <c r="BI91" s="13"/>
      <c r="BJ91" s="13"/>
      <c r="BK91" s="13"/>
      <c r="BL91" s="13"/>
      <c r="BM91" s="13"/>
      <c r="BN91" s="13"/>
      <c r="BO91" s="13"/>
      <c r="BP91" s="13"/>
      <c r="BQ91" s="13"/>
      <c r="BR91" s="13"/>
      <c r="BS91" s="13"/>
      <c r="BT91" s="13"/>
      <c r="BU91" s="13"/>
      <c r="BV91" s="13"/>
      <c r="BW91" s="13"/>
      <c r="BX91" s="13"/>
    </row>
    <row r="92" spans="7:76" s="64" customFormat="1" x14ac:dyDescent="0.35">
      <c r="G92" s="128"/>
      <c r="H92" s="128"/>
      <c r="AN92" s="13"/>
      <c r="AO92" s="13"/>
      <c r="AP92" s="13"/>
      <c r="AQ92" s="13"/>
      <c r="AR92" s="13"/>
      <c r="AS92" s="13"/>
      <c r="AT92" s="13"/>
      <c r="AU92" s="13"/>
      <c r="AV92" s="13"/>
      <c r="AW92" s="13"/>
      <c r="AX92" s="13"/>
      <c r="AY92" s="13"/>
      <c r="AZ92" s="13"/>
      <c r="BA92" s="13"/>
      <c r="BB92" s="13"/>
      <c r="BC92" s="13"/>
      <c r="BD92" s="13"/>
      <c r="BE92" s="13"/>
      <c r="BF92" s="13"/>
      <c r="BG92" s="13"/>
      <c r="BH92" s="13"/>
      <c r="BI92" s="13"/>
      <c r="BJ92" s="13"/>
      <c r="BK92" s="13"/>
      <c r="BL92" s="13"/>
      <c r="BM92" s="13"/>
      <c r="BN92" s="13"/>
      <c r="BO92" s="13"/>
      <c r="BP92" s="13"/>
      <c r="BQ92" s="13"/>
      <c r="BR92" s="13"/>
      <c r="BS92" s="13"/>
      <c r="BT92" s="13"/>
      <c r="BU92" s="13"/>
      <c r="BV92" s="13"/>
      <c r="BW92" s="13"/>
      <c r="BX92" s="13"/>
    </row>
    <row r="93" spans="7:76" s="64" customFormat="1" x14ac:dyDescent="0.35">
      <c r="G93" s="128"/>
      <c r="H93" s="128"/>
      <c r="AN93" s="13"/>
      <c r="AO93" s="13"/>
      <c r="AP93" s="13"/>
      <c r="AQ93" s="13"/>
      <c r="AR93" s="13"/>
      <c r="AS93" s="13"/>
      <c r="AT93" s="13"/>
      <c r="AU93" s="13"/>
      <c r="AV93" s="13"/>
      <c r="AW93" s="13"/>
      <c r="AX93" s="13"/>
      <c r="AY93" s="13"/>
      <c r="AZ93" s="13"/>
      <c r="BA93" s="13"/>
      <c r="BB93" s="13"/>
      <c r="BC93" s="13"/>
      <c r="BD93" s="13"/>
      <c r="BE93" s="13"/>
      <c r="BF93" s="13"/>
      <c r="BG93" s="13"/>
      <c r="BH93" s="13"/>
      <c r="BI93" s="13"/>
      <c r="BJ93" s="13"/>
      <c r="BK93" s="13"/>
      <c r="BL93" s="13"/>
      <c r="BM93" s="13"/>
      <c r="BN93" s="13"/>
      <c r="BO93" s="13"/>
      <c r="BP93" s="13"/>
      <c r="BQ93" s="13"/>
      <c r="BR93" s="13"/>
      <c r="BS93" s="13"/>
      <c r="BT93" s="13"/>
      <c r="BU93" s="13"/>
      <c r="BV93" s="13"/>
      <c r="BW93" s="13"/>
      <c r="BX93" s="13"/>
    </row>
    <row r="94" spans="7:76" s="64" customFormat="1" x14ac:dyDescent="0.35">
      <c r="G94" s="128"/>
      <c r="H94" s="128"/>
      <c r="AN94" s="13"/>
      <c r="AO94" s="13"/>
      <c r="AP94" s="13"/>
      <c r="AQ94" s="13"/>
      <c r="AR94" s="13"/>
      <c r="AS94" s="13"/>
      <c r="AT94" s="13"/>
      <c r="AU94" s="13"/>
      <c r="AV94" s="13"/>
      <c r="AW94" s="13"/>
      <c r="AX94" s="13"/>
      <c r="AY94" s="13"/>
      <c r="AZ94" s="13"/>
      <c r="BA94" s="13"/>
      <c r="BB94" s="13"/>
      <c r="BC94" s="13"/>
      <c r="BD94" s="13"/>
      <c r="BE94" s="13"/>
      <c r="BF94" s="13"/>
      <c r="BG94" s="13"/>
      <c r="BH94" s="13"/>
      <c r="BI94" s="13"/>
      <c r="BJ94" s="13"/>
      <c r="BK94" s="13"/>
      <c r="BL94" s="13"/>
      <c r="BM94" s="13"/>
      <c r="BN94" s="13"/>
      <c r="BO94" s="13"/>
      <c r="BP94" s="13"/>
      <c r="BQ94" s="13"/>
      <c r="BR94" s="13"/>
      <c r="BS94" s="13"/>
      <c r="BT94" s="13"/>
      <c r="BU94" s="13"/>
      <c r="BV94" s="13"/>
      <c r="BW94" s="13"/>
      <c r="BX94" s="13"/>
    </row>
    <row r="95" spans="7:76" s="64" customFormat="1" x14ac:dyDescent="0.35">
      <c r="G95" s="128"/>
      <c r="H95" s="128"/>
      <c r="AN95" s="13"/>
      <c r="AO95" s="13"/>
      <c r="AP95" s="13"/>
      <c r="AQ95" s="13"/>
      <c r="AR95" s="13"/>
      <c r="AS95" s="13"/>
      <c r="AT95" s="13"/>
      <c r="AU95" s="13"/>
      <c r="AV95" s="13"/>
      <c r="AW95" s="13"/>
      <c r="AX95" s="13"/>
      <c r="AY95" s="13"/>
      <c r="AZ95" s="13"/>
      <c r="BA95" s="13"/>
      <c r="BB95" s="13"/>
      <c r="BC95" s="13"/>
      <c r="BD95" s="13"/>
      <c r="BE95" s="13"/>
      <c r="BF95" s="13"/>
      <c r="BG95" s="13"/>
      <c r="BH95" s="13"/>
      <c r="BI95" s="13"/>
      <c r="BJ95" s="13"/>
      <c r="BK95" s="13"/>
      <c r="BL95" s="13"/>
      <c r="BM95" s="13"/>
      <c r="BN95" s="13"/>
      <c r="BO95" s="13"/>
      <c r="BP95" s="13"/>
      <c r="BQ95" s="13"/>
      <c r="BR95" s="13"/>
      <c r="BS95" s="13"/>
      <c r="BT95" s="13"/>
      <c r="BU95" s="13"/>
      <c r="BV95" s="13"/>
      <c r="BW95" s="13"/>
      <c r="BX95" s="13"/>
    </row>
    <row r="96" spans="7:76" s="64" customFormat="1" x14ac:dyDescent="0.35">
      <c r="G96" s="128"/>
      <c r="H96" s="128"/>
      <c r="AN96" s="13"/>
      <c r="AO96" s="13"/>
      <c r="AP96" s="13"/>
      <c r="AQ96" s="13"/>
      <c r="AR96" s="13"/>
      <c r="AS96" s="13"/>
      <c r="AT96" s="13"/>
      <c r="AU96" s="13"/>
      <c r="AV96" s="13"/>
      <c r="AW96" s="13"/>
      <c r="AX96" s="13"/>
      <c r="AY96" s="13"/>
      <c r="AZ96" s="13"/>
      <c r="BA96" s="13"/>
      <c r="BB96" s="13"/>
      <c r="BC96" s="13"/>
      <c r="BD96" s="13"/>
      <c r="BE96" s="13"/>
      <c r="BF96" s="13"/>
      <c r="BG96" s="13"/>
      <c r="BH96" s="13"/>
      <c r="BI96" s="13"/>
      <c r="BJ96" s="13"/>
      <c r="BK96" s="13"/>
      <c r="BL96" s="13"/>
      <c r="BM96" s="13"/>
      <c r="BN96" s="13"/>
      <c r="BO96" s="13"/>
      <c r="BP96" s="13"/>
      <c r="BQ96" s="13"/>
      <c r="BR96" s="13"/>
      <c r="BS96" s="13"/>
      <c r="BT96" s="13"/>
      <c r="BU96" s="13"/>
      <c r="BV96" s="13"/>
      <c r="BW96" s="13"/>
      <c r="BX96" s="13"/>
    </row>
    <row r="97" spans="7:76" s="64" customFormat="1" x14ac:dyDescent="0.35">
      <c r="G97" s="128"/>
      <c r="H97" s="128"/>
      <c r="AN97" s="13"/>
      <c r="AO97" s="13"/>
      <c r="AP97" s="13"/>
      <c r="AQ97" s="13"/>
      <c r="AR97" s="13"/>
      <c r="AS97" s="13"/>
      <c r="AT97" s="13"/>
      <c r="AU97" s="13"/>
      <c r="AV97" s="13"/>
      <c r="AW97" s="13"/>
      <c r="AX97" s="13"/>
      <c r="AY97" s="13"/>
      <c r="AZ97" s="13"/>
      <c r="BA97" s="13"/>
      <c r="BB97" s="13"/>
      <c r="BC97" s="13"/>
      <c r="BD97" s="13"/>
      <c r="BE97" s="13"/>
      <c r="BF97" s="13"/>
      <c r="BG97" s="13"/>
      <c r="BH97" s="13"/>
      <c r="BI97" s="13"/>
      <c r="BJ97" s="13"/>
      <c r="BK97" s="13"/>
      <c r="BL97" s="13"/>
      <c r="BM97" s="13"/>
      <c r="BN97" s="13"/>
      <c r="BO97" s="13"/>
      <c r="BP97" s="13"/>
      <c r="BQ97" s="13"/>
      <c r="BR97" s="13"/>
      <c r="BS97" s="13"/>
      <c r="BT97" s="13"/>
      <c r="BU97" s="13"/>
      <c r="BV97" s="13"/>
      <c r="BW97" s="13"/>
      <c r="BX97" s="13"/>
    </row>
    <row r="98" spans="7:76" s="64" customFormat="1" x14ac:dyDescent="0.35">
      <c r="G98" s="128"/>
      <c r="H98" s="128"/>
      <c r="AN98" s="13"/>
      <c r="AO98" s="13"/>
      <c r="AP98" s="13"/>
      <c r="AQ98" s="13"/>
      <c r="AR98" s="13"/>
      <c r="AS98" s="13"/>
      <c r="AT98" s="13"/>
      <c r="AU98" s="13"/>
      <c r="AV98" s="13"/>
      <c r="AW98" s="13"/>
      <c r="AX98" s="13"/>
      <c r="AY98" s="13"/>
      <c r="AZ98" s="13"/>
      <c r="BA98" s="13"/>
      <c r="BB98" s="13"/>
      <c r="BC98" s="13"/>
      <c r="BD98" s="13"/>
      <c r="BE98" s="13"/>
      <c r="BF98" s="13"/>
      <c r="BG98" s="13"/>
      <c r="BH98" s="13"/>
      <c r="BI98" s="13"/>
      <c r="BJ98" s="13"/>
      <c r="BK98" s="13"/>
      <c r="BL98" s="13"/>
      <c r="BM98" s="13"/>
      <c r="BN98" s="13"/>
      <c r="BO98" s="13"/>
      <c r="BP98" s="13"/>
      <c r="BQ98" s="13"/>
      <c r="BR98" s="13"/>
      <c r="BS98" s="13"/>
      <c r="BT98" s="13"/>
      <c r="BU98" s="13"/>
      <c r="BV98" s="13"/>
      <c r="BW98" s="13"/>
      <c r="BX98" s="13"/>
    </row>
    <row r="99" spans="7:76" s="64" customFormat="1" x14ac:dyDescent="0.35">
      <c r="G99" s="128"/>
      <c r="H99" s="128"/>
      <c r="AN99" s="13"/>
      <c r="AO99" s="13"/>
      <c r="AP99" s="13"/>
      <c r="AQ99" s="13"/>
      <c r="AR99" s="13"/>
      <c r="AS99" s="13"/>
      <c r="AT99" s="13"/>
      <c r="AU99" s="13"/>
      <c r="AV99" s="13"/>
      <c r="AW99" s="13"/>
      <c r="AX99" s="13"/>
      <c r="AY99" s="13"/>
      <c r="AZ99" s="13"/>
      <c r="BA99" s="13"/>
      <c r="BB99" s="13"/>
      <c r="BC99" s="13"/>
      <c r="BD99" s="13"/>
      <c r="BE99" s="13"/>
      <c r="BF99" s="13"/>
      <c r="BG99" s="13"/>
      <c r="BH99" s="13"/>
      <c r="BI99" s="13"/>
      <c r="BJ99" s="13"/>
      <c r="BK99" s="13"/>
      <c r="BL99" s="13"/>
      <c r="BM99" s="13"/>
      <c r="BN99" s="13"/>
      <c r="BO99" s="13"/>
      <c r="BP99" s="13"/>
      <c r="BQ99" s="13"/>
      <c r="BR99" s="13"/>
      <c r="BS99" s="13"/>
      <c r="BT99" s="13"/>
      <c r="BU99" s="13"/>
      <c r="BV99" s="13"/>
      <c r="BW99" s="13"/>
      <c r="BX99" s="13"/>
    </row>
    <row r="100" spans="7:76" s="64" customFormat="1" x14ac:dyDescent="0.35">
      <c r="G100" s="128"/>
      <c r="H100" s="128"/>
      <c r="AN100" s="13"/>
      <c r="AO100" s="13"/>
      <c r="AP100" s="13"/>
      <c r="AQ100" s="13"/>
      <c r="AR100" s="13"/>
      <c r="AS100" s="13"/>
      <c r="AT100" s="13"/>
      <c r="AU100" s="13"/>
      <c r="AV100" s="13"/>
      <c r="AW100" s="13"/>
      <c r="AX100" s="13"/>
      <c r="AY100" s="13"/>
      <c r="AZ100" s="13"/>
      <c r="BA100" s="13"/>
      <c r="BB100" s="13"/>
      <c r="BC100" s="13"/>
      <c r="BD100" s="13"/>
      <c r="BE100" s="13"/>
      <c r="BF100" s="13"/>
      <c r="BG100" s="13"/>
      <c r="BH100" s="13"/>
      <c r="BI100" s="13"/>
      <c r="BJ100" s="13"/>
      <c r="BK100" s="13"/>
      <c r="BL100" s="13"/>
      <c r="BM100" s="13"/>
      <c r="BN100" s="13"/>
      <c r="BO100" s="13"/>
      <c r="BP100" s="13"/>
      <c r="BQ100" s="13"/>
      <c r="BR100" s="13"/>
      <c r="BS100" s="13"/>
      <c r="BT100" s="13"/>
      <c r="BU100" s="13"/>
      <c r="BV100" s="13"/>
      <c r="BW100" s="13"/>
      <c r="BX100" s="13"/>
    </row>
    <row r="101" spans="7:76" s="64" customFormat="1" x14ac:dyDescent="0.35">
      <c r="G101" s="128"/>
      <c r="H101" s="128"/>
      <c r="AN101" s="13"/>
      <c r="AO101" s="13"/>
      <c r="AP101" s="13"/>
      <c r="AQ101" s="13"/>
      <c r="AR101" s="13"/>
      <c r="AS101" s="13"/>
      <c r="AT101" s="13"/>
      <c r="AU101" s="13"/>
      <c r="AV101" s="13"/>
      <c r="AW101" s="13"/>
      <c r="AX101" s="13"/>
      <c r="AY101" s="13"/>
      <c r="AZ101" s="13"/>
      <c r="BA101" s="13"/>
      <c r="BB101" s="13"/>
      <c r="BC101" s="13"/>
      <c r="BD101" s="13"/>
      <c r="BE101" s="13"/>
      <c r="BF101" s="13"/>
      <c r="BG101" s="13"/>
      <c r="BH101" s="13"/>
      <c r="BI101" s="13"/>
      <c r="BJ101" s="13"/>
      <c r="BK101" s="13"/>
      <c r="BL101" s="13"/>
      <c r="BM101" s="13"/>
      <c r="BN101" s="13"/>
      <c r="BO101" s="13"/>
      <c r="BP101" s="13"/>
      <c r="BQ101" s="13"/>
      <c r="BR101" s="13"/>
      <c r="BS101" s="13"/>
      <c r="BT101" s="13"/>
      <c r="BU101" s="13"/>
      <c r="BV101" s="13"/>
      <c r="BW101" s="13"/>
      <c r="BX101" s="13"/>
    </row>
    <row r="102" spans="7:76" s="64" customFormat="1" x14ac:dyDescent="0.35">
      <c r="G102" s="128"/>
      <c r="H102" s="128"/>
      <c r="AN102" s="13"/>
      <c r="AO102" s="13"/>
      <c r="AP102" s="13"/>
      <c r="AQ102" s="13"/>
      <c r="AR102" s="13"/>
      <c r="AS102" s="13"/>
      <c r="AT102" s="13"/>
      <c r="AU102" s="13"/>
      <c r="AV102" s="13"/>
      <c r="AW102" s="13"/>
      <c r="AX102" s="13"/>
      <c r="AY102" s="13"/>
      <c r="AZ102" s="13"/>
      <c r="BA102" s="13"/>
      <c r="BB102" s="13"/>
      <c r="BC102" s="13"/>
      <c r="BD102" s="13"/>
      <c r="BE102" s="13"/>
      <c r="BF102" s="13"/>
      <c r="BG102" s="13"/>
      <c r="BH102" s="13"/>
      <c r="BI102" s="13"/>
      <c r="BJ102" s="13"/>
      <c r="BK102" s="13"/>
      <c r="BL102" s="13"/>
      <c r="BM102" s="13"/>
      <c r="BN102" s="13"/>
      <c r="BO102" s="13"/>
      <c r="BP102" s="13"/>
      <c r="BQ102" s="13"/>
      <c r="BR102" s="13"/>
      <c r="BS102" s="13"/>
      <c r="BT102" s="13"/>
      <c r="BU102" s="13"/>
      <c r="BV102" s="13"/>
      <c r="BW102" s="13"/>
      <c r="BX102" s="13"/>
    </row>
    <row r="103" spans="7:76" s="64" customFormat="1" x14ac:dyDescent="0.35">
      <c r="G103" s="128"/>
      <c r="H103" s="128"/>
      <c r="AN103" s="13"/>
      <c r="AO103" s="13"/>
      <c r="AP103" s="13"/>
      <c r="AQ103" s="13"/>
      <c r="AR103" s="13"/>
      <c r="AS103" s="13"/>
      <c r="AT103" s="13"/>
      <c r="AU103" s="13"/>
      <c r="AV103" s="13"/>
      <c r="AW103" s="13"/>
      <c r="AX103" s="13"/>
      <c r="AY103" s="13"/>
      <c r="AZ103" s="13"/>
      <c r="BA103" s="13"/>
      <c r="BB103" s="13"/>
      <c r="BC103" s="13"/>
      <c r="BD103" s="13"/>
      <c r="BE103" s="13"/>
      <c r="BF103" s="13"/>
      <c r="BG103" s="13"/>
      <c r="BH103" s="13"/>
      <c r="BI103" s="13"/>
      <c r="BJ103" s="13"/>
      <c r="BK103" s="13"/>
      <c r="BL103" s="13"/>
      <c r="BM103" s="13"/>
      <c r="BN103" s="13"/>
      <c r="BO103" s="13"/>
      <c r="BP103" s="13"/>
      <c r="BQ103" s="13"/>
      <c r="BR103" s="13"/>
      <c r="BS103" s="13"/>
      <c r="BT103" s="13"/>
      <c r="BU103" s="13"/>
      <c r="BV103" s="13"/>
      <c r="BW103" s="13"/>
      <c r="BX103" s="13"/>
    </row>
    <row r="104" spans="7:76" s="64" customFormat="1" x14ac:dyDescent="0.35">
      <c r="G104" s="128"/>
      <c r="H104" s="128"/>
      <c r="AN104" s="13"/>
      <c r="AO104" s="13"/>
      <c r="AP104" s="13"/>
      <c r="AQ104" s="13"/>
      <c r="AR104" s="13"/>
      <c r="AS104" s="13"/>
      <c r="AT104" s="13"/>
      <c r="AU104" s="13"/>
      <c r="AV104" s="13"/>
      <c r="AW104" s="13"/>
      <c r="AX104" s="13"/>
      <c r="AY104" s="13"/>
      <c r="AZ104" s="13"/>
      <c r="BA104" s="13"/>
      <c r="BB104" s="13"/>
      <c r="BC104" s="13"/>
      <c r="BD104" s="13"/>
      <c r="BE104" s="13"/>
      <c r="BF104" s="13"/>
      <c r="BG104" s="13"/>
      <c r="BH104" s="13"/>
      <c r="BI104" s="13"/>
      <c r="BJ104" s="13"/>
      <c r="BK104" s="13"/>
      <c r="BL104" s="13"/>
      <c r="BM104" s="13"/>
      <c r="BN104" s="13"/>
      <c r="BO104" s="13"/>
      <c r="BP104" s="13"/>
      <c r="BQ104" s="13"/>
      <c r="BR104" s="13"/>
      <c r="BS104" s="13"/>
      <c r="BT104" s="13"/>
      <c r="BU104" s="13"/>
      <c r="BV104" s="13"/>
      <c r="BW104" s="13"/>
      <c r="BX104" s="13"/>
    </row>
    <row r="105" spans="7:76" s="64" customFormat="1" x14ac:dyDescent="0.35">
      <c r="G105" s="128"/>
      <c r="H105" s="128"/>
      <c r="AN105" s="13"/>
      <c r="AO105" s="13"/>
      <c r="AP105" s="13"/>
      <c r="AQ105" s="13"/>
      <c r="AR105" s="13"/>
      <c r="AS105" s="13"/>
      <c r="AT105" s="13"/>
      <c r="AU105" s="13"/>
      <c r="AV105" s="13"/>
      <c r="AW105" s="13"/>
      <c r="AX105" s="13"/>
      <c r="AY105" s="13"/>
      <c r="AZ105" s="13"/>
      <c r="BA105" s="13"/>
      <c r="BB105" s="13"/>
      <c r="BC105" s="13"/>
      <c r="BD105" s="13"/>
      <c r="BE105" s="13"/>
      <c r="BF105" s="13"/>
      <c r="BG105" s="13"/>
      <c r="BH105" s="13"/>
      <c r="BI105" s="13"/>
      <c r="BJ105" s="13"/>
      <c r="BK105" s="13"/>
      <c r="BL105" s="13"/>
      <c r="BM105" s="13"/>
      <c r="BN105" s="13"/>
      <c r="BO105" s="13"/>
      <c r="BP105" s="13"/>
      <c r="BQ105" s="13"/>
      <c r="BR105" s="13"/>
      <c r="BS105" s="13"/>
      <c r="BT105" s="13"/>
      <c r="BU105" s="13"/>
      <c r="BV105" s="13"/>
      <c r="BW105" s="13"/>
      <c r="BX105" s="13"/>
    </row>
    <row r="106" spans="7:76" s="64" customFormat="1" x14ac:dyDescent="0.35">
      <c r="G106" s="128"/>
      <c r="H106" s="128"/>
      <c r="AN106" s="13"/>
      <c r="AO106" s="13"/>
      <c r="AP106" s="13"/>
      <c r="AQ106" s="13"/>
      <c r="AR106" s="13"/>
      <c r="AS106" s="13"/>
      <c r="AT106" s="13"/>
      <c r="AU106" s="13"/>
      <c r="AV106" s="13"/>
      <c r="AW106" s="13"/>
      <c r="AX106" s="13"/>
      <c r="AY106" s="13"/>
      <c r="AZ106" s="13"/>
      <c r="BA106" s="13"/>
      <c r="BB106" s="13"/>
      <c r="BC106" s="13"/>
      <c r="BD106" s="13"/>
      <c r="BE106" s="13"/>
      <c r="BF106" s="13"/>
      <c r="BG106" s="13"/>
      <c r="BH106" s="13"/>
      <c r="BI106" s="13"/>
      <c r="BJ106" s="13"/>
      <c r="BK106" s="13"/>
      <c r="BL106" s="13"/>
      <c r="BM106" s="13"/>
      <c r="BN106" s="13"/>
      <c r="BO106" s="13"/>
      <c r="BP106" s="13"/>
      <c r="BQ106" s="13"/>
      <c r="BR106" s="13"/>
      <c r="BS106" s="13"/>
      <c r="BT106" s="13"/>
      <c r="BU106" s="13"/>
      <c r="BV106" s="13"/>
      <c r="BW106" s="13"/>
      <c r="BX106" s="13"/>
    </row>
    <row r="107" spans="7:76" s="64" customFormat="1" x14ac:dyDescent="0.35">
      <c r="G107" s="128"/>
      <c r="H107" s="128"/>
      <c r="AN107" s="13"/>
      <c r="AO107" s="13"/>
      <c r="AP107" s="13"/>
      <c r="AQ107" s="13"/>
      <c r="AR107" s="13"/>
      <c r="AS107" s="13"/>
      <c r="AT107" s="13"/>
      <c r="AU107" s="13"/>
      <c r="AV107" s="13"/>
      <c r="AW107" s="13"/>
      <c r="AX107" s="13"/>
      <c r="AY107" s="13"/>
      <c r="AZ107" s="13"/>
      <c r="BA107" s="13"/>
      <c r="BB107" s="13"/>
      <c r="BC107" s="13"/>
      <c r="BD107" s="13"/>
      <c r="BE107" s="13"/>
      <c r="BF107" s="13"/>
      <c r="BG107" s="13"/>
      <c r="BH107" s="13"/>
      <c r="BI107" s="13"/>
      <c r="BJ107" s="13"/>
      <c r="BK107" s="13"/>
      <c r="BL107" s="13"/>
      <c r="BM107" s="13"/>
      <c r="BN107" s="13"/>
      <c r="BO107" s="13"/>
      <c r="BP107" s="13"/>
      <c r="BQ107" s="13"/>
      <c r="BR107" s="13"/>
      <c r="BS107" s="13"/>
      <c r="BT107" s="13"/>
      <c r="BU107" s="13"/>
      <c r="BV107" s="13"/>
      <c r="BW107" s="13"/>
      <c r="BX107" s="13"/>
    </row>
    <row r="108" spans="7:76" s="64" customFormat="1" x14ac:dyDescent="0.35">
      <c r="G108" s="128"/>
      <c r="H108" s="128"/>
      <c r="AN108" s="13"/>
      <c r="AO108" s="13"/>
      <c r="AP108" s="13"/>
      <c r="AQ108" s="13"/>
      <c r="AR108" s="13"/>
      <c r="AS108" s="13"/>
      <c r="AT108" s="13"/>
      <c r="AU108" s="13"/>
      <c r="AV108" s="13"/>
      <c r="AW108" s="13"/>
      <c r="AX108" s="13"/>
      <c r="AY108" s="13"/>
      <c r="AZ108" s="13"/>
      <c r="BA108" s="13"/>
      <c r="BB108" s="13"/>
      <c r="BC108" s="13"/>
      <c r="BD108" s="13"/>
      <c r="BE108" s="13"/>
      <c r="BF108" s="13"/>
      <c r="BG108" s="13"/>
      <c r="BH108" s="13"/>
      <c r="BI108" s="13"/>
      <c r="BJ108" s="13"/>
      <c r="BK108" s="13"/>
      <c r="BL108" s="13"/>
      <c r="BM108" s="13"/>
      <c r="BN108" s="13"/>
      <c r="BO108" s="13"/>
      <c r="BP108" s="13"/>
      <c r="BQ108" s="13"/>
      <c r="BR108" s="13"/>
      <c r="BS108" s="13"/>
      <c r="BT108" s="13"/>
      <c r="BU108" s="13"/>
      <c r="BV108" s="13"/>
      <c r="BW108" s="13"/>
      <c r="BX108" s="13"/>
    </row>
    <row r="109" spans="7:76" s="64" customFormat="1" x14ac:dyDescent="0.35">
      <c r="G109" s="128"/>
      <c r="H109" s="128"/>
      <c r="AN109" s="13"/>
      <c r="AO109" s="13"/>
      <c r="AP109" s="13"/>
      <c r="AQ109" s="13"/>
      <c r="AR109" s="13"/>
      <c r="AS109" s="13"/>
      <c r="AT109" s="13"/>
      <c r="AU109" s="13"/>
      <c r="AV109" s="13"/>
      <c r="AW109" s="13"/>
      <c r="AX109" s="13"/>
      <c r="AY109" s="13"/>
      <c r="AZ109" s="13"/>
      <c r="BA109" s="13"/>
      <c r="BB109" s="13"/>
      <c r="BC109" s="13"/>
      <c r="BD109" s="13"/>
      <c r="BE109" s="13"/>
      <c r="BF109" s="13"/>
      <c r="BG109" s="13"/>
      <c r="BH109" s="13"/>
      <c r="BI109" s="13"/>
      <c r="BJ109" s="13"/>
      <c r="BK109" s="13"/>
      <c r="BL109" s="13"/>
      <c r="BM109" s="13"/>
      <c r="BN109" s="13"/>
      <c r="BO109" s="13"/>
      <c r="BP109" s="13"/>
      <c r="BQ109" s="13"/>
      <c r="BR109" s="13"/>
      <c r="BS109" s="13"/>
      <c r="BT109" s="13"/>
      <c r="BU109" s="13"/>
      <c r="BV109" s="13"/>
      <c r="BW109" s="13"/>
      <c r="BX109" s="13"/>
    </row>
    <row r="110" spans="7:76" s="64" customFormat="1" x14ac:dyDescent="0.35">
      <c r="G110" s="128"/>
      <c r="H110" s="128"/>
      <c r="AN110" s="13"/>
      <c r="AO110" s="13"/>
      <c r="AP110" s="13"/>
      <c r="AQ110" s="13"/>
      <c r="AR110" s="13"/>
      <c r="AS110" s="13"/>
      <c r="AT110" s="13"/>
      <c r="AU110" s="13"/>
      <c r="AV110" s="13"/>
      <c r="AW110" s="13"/>
      <c r="AX110" s="13"/>
      <c r="AY110" s="13"/>
      <c r="AZ110" s="13"/>
      <c r="BA110" s="13"/>
      <c r="BB110" s="13"/>
      <c r="BC110" s="13"/>
      <c r="BD110" s="13"/>
      <c r="BE110" s="13"/>
      <c r="BF110" s="13"/>
      <c r="BG110" s="13"/>
      <c r="BH110" s="13"/>
      <c r="BI110" s="13"/>
      <c r="BJ110" s="13"/>
      <c r="BK110" s="13"/>
      <c r="BL110" s="13"/>
      <c r="BM110" s="13"/>
      <c r="BN110" s="13"/>
      <c r="BO110" s="13"/>
      <c r="BP110" s="13"/>
      <c r="BQ110" s="13"/>
      <c r="BR110" s="13"/>
      <c r="BS110" s="13"/>
      <c r="BT110" s="13"/>
      <c r="BU110" s="13"/>
      <c r="BV110" s="13"/>
      <c r="BW110" s="13"/>
      <c r="BX110" s="13"/>
    </row>
    <row r="111" spans="7:76" s="64" customFormat="1" x14ac:dyDescent="0.35">
      <c r="G111" s="128"/>
      <c r="H111" s="128"/>
      <c r="AN111" s="13"/>
      <c r="AO111" s="13"/>
      <c r="AP111" s="13"/>
      <c r="AQ111" s="13"/>
      <c r="AR111" s="13"/>
      <c r="AS111" s="13"/>
      <c r="AT111" s="13"/>
      <c r="AU111" s="13"/>
      <c r="AV111" s="13"/>
      <c r="AW111" s="13"/>
      <c r="AX111" s="13"/>
      <c r="AY111" s="13"/>
      <c r="AZ111" s="13"/>
      <c r="BA111" s="13"/>
      <c r="BB111" s="13"/>
      <c r="BC111" s="13"/>
      <c r="BD111" s="13"/>
      <c r="BE111" s="13"/>
      <c r="BF111" s="13"/>
      <c r="BG111" s="13"/>
      <c r="BH111" s="13"/>
      <c r="BI111" s="13"/>
      <c r="BJ111" s="13"/>
      <c r="BK111" s="13"/>
      <c r="BL111" s="13"/>
      <c r="BM111" s="13"/>
      <c r="BN111" s="13"/>
      <c r="BO111" s="13"/>
      <c r="BP111" s="13"/>
      <c r="BQ111" s="13"/>
      <c r="BR111" s="13"/>
      <c r="BS111" s="13"/>
      <c r="BT111" s="13"/>
      <c r="BU111" s="13"/>
      <c r="BV111" s="13"/>
      <c r="BW111" s="13"/>
      <c r="BX111" s="13"/>
    </row>
    <row r="112" spans="7:76" s="64" customFormat="1" x14ac:dyDescent="0.35">
      <c r="G112" s="128"/>
      <c r="H112" s="128"/>
      <c r="AN112" s="13"/>
      <c r="AO112" s="13"/>
      <c r="AP112" s="13"/>
      <c r="AQ112" s="13"/>
      <c r="AR112" s="13"/>
      <c r="AS112" s="13"/>
      <c r="AT112" s="13"/>
      <c r="AU112" s="13"/>
      <c r="AV112" s="13"/>
      <c r="AW112" s="13"/>
      <c r="AX112" s="13"/>
      <c r="AY112" s="13"/>
      <c r="AZ112" s="13"/>
      <c r="BA112" s="13"/>
      <c r="BB112" s="13"/>
      <c r="BC112" s="13"/>
      <c r="BD112" s="13"/>
      <c r="BE112" s="13"/>
      <c r="BF112" s="13"/>
      <c r="BG112" s="13"/>
      <c r="BH112" s="13"/>
      <c r="BI112" s="13"/>
      <c r="BJ112" s="13"/>
      <c r="BK112" s="13"/>
      <c r="BL112" s="13"/>
      <c r="BM112" s="13"/>
      <c r="BN112" s="13"/>
      <c r="BO112" s="13"/>
      <c r="BP112" s="13"/>
      <c r="BQ112" s="13"/>
      <c r="BR112" s="13"/>
      <c r="BS112" s="13"/>
      <c r="BT112" s="13"/>
      <c r="BU112" s="13"/>
      <c r="BV112" s="13"/>
      <c r="BW112" s="13"/>
      <c r="BX112" s="13"/>
    </row>
    <row r="113" spans="7:76" s="64" customFormat="1" x14ac:dyDescent="0.35">
      <c r="G113" s="128"/>
      <c r="H113" s="128"/>
      <c r="AN113" s="13"/>
      <c r="AO113" s="13"/>
      <c r="AP113" s="13"/>
      <c r="AQ113" s="13"/>
      <c r="AR113" s="13"/>
      <c r="AS113" s="13"/>
      <c r="AT113" s="13"/>
      <c r="AU113" s="13"/>
      <c r="AV113" s="13"/>
      <c r="AW113" s="13"/>
      <c r="AX113" s="13"/>
      <c r="AY113" s="13"/>
      <c r="AZ113" s="13"/>
      <c r="BA113" s="13"/>
      <c r="BB113" s="13"/>
      <c r="BC113" s="13"/>
      <c r="BD113" s="13"/>
      <c r="BE113" s="13"/>
      <c r="BF113" s="13"/>
      <c r="BG113" s="13"/>
      <c r="BH113" s="13"/>
      <c r="BI113" s="13"/>
      <c r="BJ113" s="13"/>
      <c r="BK113" s="13"/>
      <c r="BL113" s="13"/>
      <c r="BM113" s="13"/>
      <c r="BN113" s="13"/>
      <c r="BO113" s="13"/>
      <c r="BP113" s="13"/>
      <c r="BQ113" s="13"/>
      <c r="BR113" s="13"/>
      <c r="BS113" s="13"/>
      <c r="BT113" s="13"/>
      <c r="BU113" s="13"/>
      <c r="BV113" s="13"/>
      <c r="BW113" s="13"/>
      <c r="BX113" s="13"/>
    </row>
    <row r="114" spans="7:76" s="64" customFormat="1" x14ac:dyDescent="0.35">
      <c r="G114" s="128"/>
      <c r="H114" s="128"/>
      <c r="AN114" s="13"/>
      <c r="AO114" s="13"/>
      <c r="AP114" s="13"/>
      <c r="AQ114" s="13"/>
      <c r="AR114" s="13"/>
      <c r="AS114" s="13"/>
      <c r="AT114" s="13"/>
      <c r="AU114" s="13"/>
      <c r="AV114" s="13"/>
      <c r="AW114" s="13"/>
      <c r="AX114" s="13"/>
      <c r="AY114" s="13"/>
      <c r="AZ114" s="13"/>
      <c r="BA114" s="13"/>
      <c r="BB114" s="13"/>
      <c r="BC114" s="13"/>
      <c r="BD114" s="13"/>
      <c r="BE114" s="13"/>
      <c r="BF114" s="13"/>
      <c r="BG114" s="13"/>
      <c r="BH114" s="13"/>
      <c r="BI114" s="13"/>
      <c r="BJ114" s="13"/>
      <c r="BK114" s="13"/>
      <c r="BL114" s="13"/>
      <c r="BM114" s="13"/>
      <c r="BN114" s="13"/>
      <c r="BO114" s="13"/>
      <c r="BP114" s="13"/>
      <c r="BQ114" s="13"/>
      <c r="BR114" s="13"/>
      <c r="BS114" s="13"/>
      <c r="BT114" s="13"/>
      <c r="BU114" s="13"/>
      <c r="BV114" s="13"/>
      <c r="BW114" s="13"/>
      <c r="BX114" s="13"/>
    </row>
    <row r="115" spans="7:76" s="64" customFormat="1" x14ac:dyDescent="0.35">
      <c r="G115" s="128"/>
      <c r="H115" s="128"/>
      <c r="AN115" s="13"/>
      <c r="AO115" s="13"/>
      <c r="AP115" s="13"/>
      <c r="AQ115" s="13"/>
      <c r="AR115" s="13"/>
      <c r="AS115" s="13"/>
      <c r="AT115" s="13"/>
      <c r="AU115" s="13"/>
      <c r="AV115" s="13"/>
      <c r="AW115" s="13"/>
      <c r="AX115" s="13"/>
      <c r="AY115" s="13"/>
      <c r="AZ115" s="13"/>
      <c r="BA115" s="13"/>
      <c r="BB115" s="13"/>
      <c r="BC115" s="13"/>
      <c r="BD115" s="13"/>
      <c r="BE115" s="13"/>
      <c r="BF115" s="13"/>
      <c r="BG115" s="13"/>
      <c r="BH115" s="13"/>
      <c r="BI115" s="13"/>
      <c r="BJ115" s="13"/>
      <c r="BK115" s="13"/>
      <c r="BL115" s="13"/>
      <c r="BM115" s="13"/>
      <c r="BN115" s="13"/>
      <c r="BO115" s="13"/>
      <c r="BP115" s="13"/>
      <c r="BQ115" s="13"/>
      <c r="BR115" s="13"/>
      <c r="BS115" s="13"/>
      <c r="BT115" s="13"/>
      <c r="BU115" s="13"/>
      <c r="BV115" s="13"/>
      <c r="BW115" s="13"/>
      <c r="BX115" s="13"/>
    </row>
    <row r="116" spans="7:76" s="64" customFormat="1" x14ac:dyDescent="0.35">
      <c r="G116" s="128"/>
      <c r="H116" s="128"/>
      <c r="AN116" s="13"/>
      <c r="AO116" s="13"/>
      <c r="AP116" s="13"/>
      <c r="AQ116" s="13"/>
      <c r="AR116" s="13"/>
      <c r="AS116" s="13"/>
      <c r="AT116" s="13"/>
      <c r="AU116" s="13"/>
      <c r="AV116" s="13"/>
      <c r="AW116" s="13"/>
      <c r="AX116" s="13"/>
      <c r="AY116" s="13"/>
      <c r="AZ116" s="13"/>
      <c r="BA116" s="13"/>
      <c r="BB116" s="13"/>
      <c r="BC116" s="13"/>
      <c r="BD116" s="13"/>
      <c r="BE116" s="13"/>
      <c r="BF116" s="13"/>
      <c r="BG116" s="13"/>
      <c r="BH116" s="13"/>
      <c r="BI116" s="13"/>
      <c r="BJ116" s="13"/>
      <c r="BK116" s="13"/>
      <c r="BL116" s="13"/>
      <c r="BM116" s="13"/>
      <c r="BN116" s="13"/>
      <c r="BO116" s="13"/>
      <c r="BP116" s="13"/>
      <c r="BQ116" s="13"/>
      <c r="BR116" s="13"/>
      <c r="BS116" s="13"/>
      <c r="BT116" s="13"/>
      <c r="BU116" s="13"/>
      <c r="BV116" s="13"/>
      <c r="BW116" s="13"/>
      <c r="BX116" s="13"/>
    </row>
    <row r="117" spans="7:76" s="64" customFormat="1" x14ac:dyDescent="0.35">
      <c r="G117" s="128"/>
      <c r="H117" s="128"/>
      <c r="AN117" s="13"/>
      <c r="AO117" s="13"/>
      <c r="AP117" s="13"/>
      <c r="AQ117" s="13"/>
      <c r="AR117" s="13"/>
      <c r="AS117" s="13"/>
      <c r="AT117" s="13"/>
      <c r="AU117" s="13"/>
      <c r="AV117" s="13"/>
      <c r="AW117" s="13"/>
      <c r="AX117" s="13"/>
      <c r="AY117" s="13"/>
      <c r="AZ117" s="13"/>
      <c r="BA117" s="13"/>
      <c r="BB117" s="13"/>
      <c r="BC117" s="13"/>
      <c r="BD117" s="13"/>
      <c r="BE117" s="13"/>
      <c r="BF117" s="13"/>
      <c r="BG117" s="13"/>
      <c r="BH117" s="13"/>
      <c r="BI117" s="13"/>
      <c r="BJ117" s="13"/>
      <c r="BK117" s="13"/>
      <c r="BL117" s="13"/>
      <c r="BM117" s="13"/>
      <c r="BN117" s="13"/>
      <c r="BO117" s="13"/>
      <c r="BP117" s="13"/>
      <c r="BQ117" s="13"/>
      <c r="BR117" s="13"/>
      <c r="BS117" s="13"/>
      <c r="BT117" s="13"/>
      <c r="BU117" s="13"/>
      <c r="BV117" s="13"/>
      <c r="BW117" s="13"/>
      <c r="BX117" s="13"/>
    </row>
    <row r="118" spans="7:76" s="64" customFormat="1" x14ac:dyDescent="0.35">
      <c r="G118" s="128"/>
      <c r="H118" s="128"/>
      <c r="AN118" s="13"/>
      <c r="AO118" s="13"/>
      <c r="AP118" s="13"/>
      <c r="AQ118" s="13"/>
      <c r="AR118" s="13"/>
      <c r="AS118" s="13"/>
      <c r="AT118" s="13"/>
      <c r="AU118" s="13"/>
      <c r="AV118" s="13"/>
      <c r="AW118" s="13"/>
      <c r="AX118" s="13"/>
      <c r="AY118" s="13"/>
      <c r="AZ118" s="13"/>
      <c r="BA118" s="13"/>
      <c r="BB118" s="13"/>
      <c r="BC118" s="13"/>
      <c r="BD118" s="13"/>
      <c r="BE118" s="13"/>
      <c r="BF118" s="13"/>
      <c r="BG118" s="13"/>
      <c r="BH118" s="13"/>
      <c r="BI118" s="13"/>
      <c r="BJ118" s="13"/>
      <c r="BK118" s="13"/>
      <c r="BL118" s="13"/>
      <c r="BM118" s="13"/>
      <c r="BN118" s="13"/>
      <c r="BO118" s="13"/>
      <c r="BP118" s="13"/>
      <c r="BQ118" s="13"/>
      <c r="BR118" s="13"/>
      <c r="BS118" s="13"/>
      <c r="BT118" s="13"/>
      <c r="BU118" s="13"/>
      <c r="BV118" s="13"/>
      <c r="BW118" s="13"/>
      <c r="BX118" s="13"/>
    </row>
    <row r="119" spans="7:76" s="64" customFormat="1" x14ac:dyDescent="0.35">
      <c r="G119" s="128"/>
      <c r="H119" s="128"/>
      <c r="AN119" s="13"/>
      <c r="AO119" s="13"/>
      <c r="AP119" s="13"/>
      <c r="AQ119" s="13"/>
      <c r="AR119" s="13"/>
      <c r="AS119" s="13"/>
      <c r="AT119" s="13"/>
      <c r="AU119" s="13"/>
      <c r="AV119" s="13"/>
      <c r="AW119" s="13"/>
      <c r="AX119" s="13"/>
      <c r="AY119" s="13"/>
      <c r="AZ119" s="13"/>
      <c r="BA119" s="13"/>
      <c r="BB119" s="13"/>
      <c r="BC119" s="13"/>
      <c r="BD119" s="13"/>
      <c r="BE119" s="13"/>
      <c r="BF119" s="13"/>
      <c r="BG119" s="13"/>
      <c r="BH119" s="13"/>
      <c r="BI119" s="13"/>
      <c r="BJ119" s="13"/>
      <c r="BK119" s="13"/>
      <c r="BL119" s="13"/>
      <c r="BM119" s="13"/>
      <c r="BN119" s="13"/>
      <c r="BO119" s="13"/>
      <c r="BP119" s="13"/>
      <c r="BQ119" s="13"/>
      <c r="BR119" s="13"/>
      <c r="BS119" s="13"/>
      <c r="BT119" s="13"/>
      <c r="BU119" s="13"/>
      <c r="BV119" s="13"/>
      <c r="BW119" s="13"/>
      <c r="BX119" s="13"/>
    </row>
    <row r="120" spans="7:76" s="64" customFormat="1" x14ac:dyDescent="0.35">
      <c r="G120" s="128"/>
      <c r="H120" s="128"/>
      <c r="AN120" s="13"/>
      <c r="AO120" s="13"/>
      <c r="AP120" s="13"/>
      <c r="AQ120" s="13"/>
      <c r="AR120" s="13"/>
      <c r="AS120" s="13"/>
      <c r="AT120" s="13"/>
      <c r="AU120" s="13"/>
      <c r="AV120" s="13"/>
      <c r="AW120" s="13"/>
      <c r="AX120" s="13"/>
      <c r="AY120" s="13"/>
      <c r="AZ120" s="13"/>
      <c r="BA120" s="13"/>
      <c r="BB120" s="13"/>
      <c r="BC120" s="13"/>
      <c r="BD120" s="13"/>
      <c r="BE120" s="13"/>
      <c r="BF120" s="13"/>
      <c r="BG120" s="13"/>
      <c r="BH120" s="13"/>
      <c r="BI120" s="13"/>
      <c r="BJ120" s="13"/>
      <c r="BK120" s="13"/>
      <c r="BL120" s="13"/>
      <c r="BM120" s="13"/>
      <c r="BN120" s="13"/>
      <c r="BO120" s="13"/>
      <c r="BP120" s="13"/>
      <c r="BQ120" s="13"/>
      <c r="BR120" s="13"/>
      <c r="BS120" s="13"/>
      <c r="BT120" s="13"/>
      <c r="BU120" s="13"/>
      <c r="BV120" s="13"/>
      <c r="BW120" s="13"/>
      <c r="BX120" s="13"/>
    </row>
    <row r="121" spans="7:76" s="64" customFormat="1" x14ac:dyDescent="0.35">
      <c r="G121" s="128"/>
      <c r="H121" s="128"/>
      <c r="AN121" s="13"/>
      <c r="AO121" s="13"/>
      <c r="AP121" s="13"/>
      <c r="AQ121" s="13"/>
      <c r="AR121" s="13"/>
      <c r="AS121" s="13"/>
      <c r="AT121" s="13"/>
      <c r="AU121" s="13"/>
      <c r="AV121" s="13"/>
      <c r="AW121" s="13"/>
      <c r="AX121" s="13"/>
      <c r="AY121" s="13"/>
      <c r="AZ121" s="13"/>
      <c r="BA121" s="13"/>
      <c r="BB121" s="13"/>
      <c r="BC121" s="13"/>
      <c r="BD121" s="13"/>
      <c r="BE121" s="13"/>
      <c r="BF121" s="13"/>
      <c r="BG121" s="13"/>
      <c r="BH121" s="13"/>
      <c r="BI121" s="13"/>
      <c r="BJ121" s="13"/>
      <c r="BK121" s="13"/>
      <c r="BL121" s="13"/>
      <c r="BM121" s="13"/>
      <c r="BN121" s="13"/>
      <c r="BO121" s="13"/>
      <c r="BP121" s="13"/>
      <c r="BQ121" s="13"/>
      <c r="BR121" s="13"/>
      <c r="BS121" s="13"/>
      <c r="BT121" s="13"/>
      <c r="BU121" s="13"/>
      <c r="BV121" s="13"/>
      <c r="BW121" s="13"/>
      <c r="BX121" s="13"/>
    </row>
    <row r="122" spans="7:76" s="64" customFormat="1" x14ac:dyDescent="0.35">
      <c r="G122" s="128"/>
      <c r="H122" s="128"/>
      <c r="AN122" s="13"/>
      <c r="AO122" s="13"/>
      <c r="AP122" s="13"/>
      <c r="AQ122" s="13"/>
      <c r="AR122" s="13"/>
      <c r="AS122" s="13"/>
      <c r="AT122" s="13"/>
      <c r="AU122" s="13"/>
      <c r="AV122" s="13"/>
      <c r="AW122" s="13"/>
      <c r="AX122" s="13"/>
      <c r="AY122" s="13"/>
      <c r="AZ122" s="13"/>
      <c r="BA122" s="13"/>
      <c r="BB122" s="13"/>
      <c r="BC122" s="13"/>
      <c r="BD122" s="13"/>
      <c r="BE122" s="13"/>
      <c r="BF122" s="13"/>
      <c r="BG122" s="13"/>
      <c r="BH122" s="13"/>
      <c r="BI122" s="13"/>
      <c r="BJ122" s="13"/>
      <c r="BK122" s="13"/>
      <c r="BL122" s="13"/>
      <c r="BM122" s="13"/>
      <c r="BN122" s="13"/>
      <c r="BO122" s="13"/>
      <c r="BP122" s="13"/>
      <c r="BQ122" s="13"/>
      <c r="BR122" s="13"/>
      <c r="BS122" s="13"/>
      <c r="BT122" s="13"/>
      <c r="BU122" s="13"/>
      <c r="BV122" s="13"/>
      <c r="BW122" s="13"/>
      <c r="BX122" s="13"/>
    </row>
    <row r="123" spans="7:76" s="64" customFormat="1" x14ac:dyDescent="0.35">
      <c r="G123" s="128"/>
      <c r="H123" s="128"/>
      <c r="AN123" s="13"/>
      <c r="AO123" s="13"/>
      <c r="AP123" s="13"/>
      <c r="AQ123" s="13"/>
      <c r="AR123" s="13"/>
      <c r="AS123" s="13"/>
      <c r="AT123" s="13"/>
      <c r="AU123" s="13"/>
      <c r="AV123" s="13"/>
      <c r="AW123" s="13"/>
      <c r="AX123" s="13"/>
      <c r="AY123" s="13"/>
      <c r="AZ123" s="13"/>
      <c r="BA123" s="13"/>
      <c r="BB123" s="13"/>
      <c r="BC123" s="13"/>
      <c r="BD123" s="13"/>
      <c r="BE123" s="13"/>
      <c r="BF123" s="13"/>
      <c r="BG123" s="13"/>
      <c r="BH123" s="13"/>
      <c r="BI123" s="13"/>
      <c r="BJ123" s="13"/>
      <c r="BK123" s="13"/>
      <c r="BL123" s="13"/>
      <c r="BM123" s="13"/>
      <c r="BN123" s="13"/>
      <c r="BO123" s="13"/>
      <c r="BP123" s="13"/>
      <c r="BQ123" s="13"/>
      <c r="BR123" s="13"/>
      <c r="BS123" s="13"/>
      <c r="BT123" s="13"/>
      <c r="BU123" s="13"/>
      <c r="BV123" s="13"/>
      <c r="BW123" s="13"/>
      <c r="BX123" s="13"/>
    </row>
    <row r="124" spans="7:76" s="64" customFormat="1" x14ac:dyDescent="0.35">
      <c r="G124" s="128"/>
      <c r="H124" s="128"/>
      <c r="AN124" s="13"/>
      <c r="AO124" s="13"/>
      <c r="AP124" s="13"/>
      <c r="AQ124" s="13"/>
      <c r="AR124" s="13"/>
      <c r="AS124" s="13"/>
      <c r="AT124" s="13"/>
      <c r="AU124" s="13"/>
      <c r="AV124" s="13"/>
      <c r="AW124" s="13"/>
      <c r="AX124" s="13"/>
      <c r="AY124" s="13"/>
      <c r="AZ124" s="13"/>
      <c r="BA124" s="13"/>
      <c r="BB124" s="13"/>
      <c r="BC124" s="13"/>
      <c r="BD124" s="13"/>
      <c r="BE124" s="13"/>
      <c r="BF124" s="13"/>
      <c r="BG124" s="13"/>
      <c r="BH124" s="13"/>
      <c r="BI124" s="13"/>
      <c r="BJ124" s="13"/>
      <c r="BK124" s="13"/>
      <c r="BL124" s="13"/>
      <c r="BM124" s="13"/>
      <c r="BN124" s="13"/>
      <c r="BO124" s="13"/>
      <c r="BP124" s="13"/>
      <c r="BQ124" s="13"/>
      <c r="BR124" s="13"/>
      <c r="BS124" s="13"/>
      <c r="BT124" s="13"/>
      <c r="BU124" s="13"/>
      <c r="BV124" s="13"/>
      <c r="BW124" s="13"/>
      <c r="BX124" s="13"/>
    </row>
    <row r="125" spans="7:76" s="64" customFormat="1" x14ac:dyDescent="0.35">
      <c r="G125" s="128"/>
      <c r="H125" s="128"/>
      <c r="AN125" s="13"/>
      <c r="AO125" s="13"/>
      <c r="AP125" s="13"/>
      <c r="AQ125" s="13"/>
      <c r="AR125" s="13"/>
      <c r="AS125" s="13"/>
      <c r="AT125" s="13"/>
      <c r="AU125" s="13"/>
      <c r="AV125" s="13"/>
      <c r="AW125" s="13"/>
      <c r="AX125" s="13"/>
      <c r="AY125" s="13"/>
      <c r="AZ125" s="13"/>
      <c r="BA125" s="13"/>
      <c r="BB125" s="13"/>
      <c r="BC125" s="13"/>
      <c r="BD125" s="13"/>
      <c r="BE125" s="13"/>
      <c r="BF125" s="13"/>
      <c r="BG125" s="13"/>
      <c r="BH125" s="13"/>
      <c r="BI125" s="13"/>
      <c r="BJ125" s="13"/>
      <c r="BK125" s="13"/>
      <c r="BL125" s="13"/>
      <c r="BM125" s="13"/>
      <c r="BN125" s="13"/>
      <c r="BO125" s="13"/>
      <c r="BP125" s="13"/>
      <c r="BQ125" s="13"/>
      <c r="BR125" s="13"/>
      <c r="BS125" s="13"/>
      <c r="BT125" s="13"/>
      <c r="BU125" s="13"/>
      <c r="BV125" s="13"/>
      <c r="BW125" s="13"/>
      <c r="BX125" s="13"/>
    </row>
    <row r="126" spans="7:76" s="64" customFormat="1" x14ac:dyDescent="0.35">
      <c r="G126" s="128"/>
      <c r="H126" s="128"/>
      <c r="AN126" s="13"/>
      <c r="AO126" s="13"/>
      <c r="AP126" s="13"/>
      <c r="AQ126" s="13"/>
      <c r="AR126" s="13"/>
      <c r="AS126" s="13"/>
      <c r="AT126" s="13"/>
      <c r="AU126" s="13"/>
      <c r="AV126" s="13"/>
      <c r="AW126" s="13"/>
      <c r="AX126" s="13"/>
      <c r="AY126" s="13"/>
      <c r="AZ126" s="13"/>
      <c r="BA126" s="13"/>
      <c r="BB126" s="13"/>
      <c r="BC126" s="13"/>
      <c r="BD126" s="13"/>
      <c r="BE126" s="13"/>
      <c r="BF126" s="13"/>
      <c r="BG126" s="13"/>
      <c r="BH126" s="13"/>
      <c r="BI126" s="13"/>
      <c r="BJ126" s="13"/>
      <c r="BK126" s="13"/>
      <c r="BL126" s="13"/>
      <c r="BM126" s="13"/>
      <c r="BN126" s="13"/>
      <c r="BO126" s="13"/>
      <c r="BP126" s="13"/>
      <c r="BQ126" s="13"/>
      <c r="BR126" s="13"/>
      <c r="BS126" s="13"/>
      <c r="BT126" s="13"/>
      <c r="BU126" s="13"/>
      <c r="BV126" s="13"/>
      <c r="BW126" s="13"/>
      <c r="BX126" s="13"/>
    </row>
    <row r="127" spans="7:76" s="64" customFormat="1" x14ac:dyDescent="0.35">
      <c r="G127" s="128"/>
      <c r="H127" s="128"/>
      <c r="AN127" s="13"/>
      <c r="AO127" s="13"/>
      <c r="AP127" s="13"/>
      <c r="AQ127" s="13"/>
      <c r="AR127" s="13"/>
      <c r="AS127" s="13"/>
      <c r="AT127" s="13"/>
      <c r="AU127" s="13"/>
      <c r="AV127" s="13"/>
      <c r="AW127" s="13"/>
      <c r="AX127" s="13"/>
      <c r="AY127" s="13"/>
      <c r="AZ127" s="13"/>
      <c r="BA127" s="13"/>
      <c r="BB127" s="13"/>
      <c r="BC127" s="13"/>
      <c r="BD127" s="13"/>
      <c r="BE127" s="13"/>
      <c r="BF127" s="13"/>
      <c r="BG127" s="13"/>
      <c r="BH127" s="13"/>
      <c r="BI127" s="13"/>
      <c r="BJ127" s="13"/>
      <c r="BK127" s="13"/>
      <c r="BL127" s="13"/>
      <c r="BM127" s="13"/>
      <c r="BN127" s="13"/>
      <c r="BO127" s="13"/>
      <c r="BP127" s="13"/>
      <c r="BQ127" s="13"/>
      <c r="BR127" s="13"/>
      <c r="BS127" s="13"/>
      <c r="BT127" s="13"/>
      <c r="BU127" s="13"/>
      <c r="BV127" s="13"/>
      <c r="BW127" s="13"/>
      <c r="BX127" s="13"/>
    </row>
    <row r="128" spans="7:76" s="64" customFormat="1" x14ac:dyDescent="0.35">
      <c r="G128" s="128"/>
      <c r="H128" s="128"/>
      <c r="AN128" s="13"/>
      <c r="AO128" s="13"/>
      <c r="AP128" s="13"/>
      <c r="AQ128" s="13"/>
      <c r="AR128" s="13"/>
      <c r="AS128" s="13"/>
      <c r="AT128" s="13"/>
      <c r="AU128" s="13"/>
      <c r="AV128" s="13"/>
      <c r="AW128" s="13"/>
      <c r="AX128" s="13"/>
      <c r="AY128" s="13"/>
      <c r="AZ128" s="13"/>
      <c r="BA128" s="13"/>
      <c r="BB128" s="13"/>
      <c r="BC128" s="13"/>
      <c r="BD128" s="13"/>
      <c r="BE128" s="13"/>
      <c r="BF128" s="13"/>
      <c r="BG128" s="13"/>
      <c r="BH128" s="13"/>
      <c r="BI128" s="13"/>
      <c r="BJ128" s="13"/>
      <c r="BK128" s="13"/>
      <c r="BL128" s="13"/>
      <c r="BM128" s="13"/>
      <c r="BN128" s="13"/>
      <c r="BO128" s="13"/>
      <c r="BP128" s="13"/>
      <c r="BQ128" s="13"/>
      <c r="BR128" s="13"/>
      <c r="BS128" s="13"/>
      <c r="BT128" s="13"/>
      <c r="BU128" s="13"/>
      <c r="BV128" s="13"/>
      <c r="BW128" s="13"/>
      <c r="BX128" s="13"/>
    </row>
    <row r="129" spans="1:76" s="64" customFormat="1" x14ac:dyDescent="0.35">
      <c r="G129" s="128"/>
      <c r="H129" s="128"/>
      <c r="AN129" s="13"/>
      <c r="AO129" s="13"/>
      <c r="AP129" s="13"/>
      <c r="AQ129" s="13"/>
      <c r="AR129" s="13"/>
      <c r="AS129" s="13"/>
      <c r="AT129" s="13"/>
      <c r="AU129" s="13"/>
      <c r="AV129" s="13"/>
      <c r="AW129" s="13"/>
      <c r="AX129" s="13"/>
      <c r="AY129" s="13"/>
      <c r="AZ129" s="13"/>
      <c r="BA129" s="13"/>
      <c r="BB129" s="13"/>
      <c r="BC129" s="13"/>
      <c r="BD129" s="13"/>
      <c r="BE129" s="13"/>
      <c r="BF129" s="13"/>
      <c r="BG129" s="13"/>
      <c r="BH129" s="13"/>
      <c r="BI129" s="13"/>
      <c r="BJ129" s="13"/>
      <c r="BK129" s="13"/>
      <c r="BL129" s="13"/>
      <c r="BM129" s="13"/>
      <c r="BN129" s="13"/>
      <c r="BO129" s="13"/>
      <c r="BP129" s="13"/>
      <c r="BQ129" s="13"/>
      <c r="BR129" s="13"/>
      <c r="BS129" s="13"/>
      <c r="BT129" s="13"/>
      <c r="BU129" s="13"/>
      <c r="BV129" s="13"/>
      <c r="BW129" s="13"/>
      <c r="BX129" s="13"/>
    </row>
    <row r="130" spans="1:76" s="64" customFormat="1" x14ac:dyDescent="0.35">
      <c r="G130" s="128"/>
      <c r="H130" s="128"/>
      <c r="AN130" s="13"/>
      <c r="AO130" s="13"/>
      <c r="AP130" s="13"/>
      <c r="AQ130" s="13"/>
      <c r="AR130" s="13"/>
      <c r="AS130" s="13"/>
      <c r="AT130" s="13"/>
      <c r="AU130" s="13"/>
      <c r="AV130" s="13"/>
      <c r="AW130" s="13"/>
      <c r="AX130" s="13"/>
      <c r="AY130" s="13"/>
      <c r="AZ130" s="13"/>
      <c r="BA130" s="13"/>
      <c r="BB130" s="13"/>
      <c r="BC130" s="13"/>
      <c r="BD130" s="13"/>
      <c r="BE130" s="13"/>
      <c r="BF130" s="13"/>
      <c r="BG130" s="13"/>
      <c r="BH130" s="13"/>
      <c r="BI130" s="13"/>
      <c r="BJ130" s="13"/>
      <c r="BK130" s="13"/>
      <c r="BL130" s="13"/>
      <c r="BM130" s="13"/>
      <c r="BN130" s="13"/>
      <c r="BO130" s="13"/>
      <c r="BP130" s="13"/>
      <c r="BQ130" s="13"/>
      <c r="BR130" s="13"/>
      <c r="BS130" s="13"/>
      <c r="BT130" s="13"/>
      <c r="BU130" s="13"/>
      <c r="BV130" s="13"/>
      <c r="BW130" s="13"/>
      <c r="BX130" s="13"/>
    </row>
    <row r="131" spans="1:76" s="64" customFormat="1" x14ac:dyDescent="0.35">
      <c r="G131" s="128"/>
      <c r="H131" s="128"/>
      <c r="AN131" s="13"/>
      <c r="AO131" s="13"/>
      <c r="AP131" s="13"/>
      <c r="AQ131" s="13"/>
      <c r="AR131" s="13"/>
      <c r="AS131" s="13"/>
      <c r="AT131" s="13"/>
      <c r="AU131" s="13"/>
      <c r="AV131" s="13"/>
      <c r="AW131" s="13"/>
      <c r="AX131" s="13"/>
      <c r="AY131" s="13"/>
      <c r="AZ131" s="13"/>
      <c r="BA131" s="13"/>
      <c r="BB131" s="13"/>
      <c r="BC131" s="13"/>
      <c r="BD131" s="13"/>
      <c r="BE131" s="13"/>
      <c r="BF131" s="13"/>
      <c r="BG131" s="13"/>
      <c r="BH131" s="13"/>
      <c r="BI131" s="13"/>
      <c r="BJ131" s="13"/>
      <c r="BK131" s="13"/>
      <c r="BL131" s="13"/>
      <c r="BM131" s="13"/>
      <c r="BN131" s="13"/>
      <c r="BO131" s="13"/>
      <c r="BP131" s="13"/>
      <c r="BQ131" s="13"/>
      <c r="BR131" s="13"/>
      <c r="BS131" s="13"/>
      <c r="BT131" s="13"/>
      <c r="BU131" s="13"/>
      <c r="BV131" s="13"/>
      <c r="BW131" s="13"/>
      <c r="BX131" s="13"/>
    </row>
    <row r="132" spans="1:76" s="64" customFormat="1" x14ac:dyDescent="0.35">
      <c r="G132" s="128"/>
      <c r="H132" s="128"/>
      <c r="AN132" s="13"/>
      <c r="AO132" s="13"/>
      <c r="AP132" s="13"/>
      <c r="AQ132" s="13"/>
      <c r="AR132" s="13"/>
      <c r="AS132" s="13"/>
      <c r="AT132" s="13"/>
      <c r="AU132" s="13"/>
      <c r="AV132" s="13"/>
      <c r="AW132" s="13"/>
      <c r="AX132" s="13"/>
      <c r="AY132" s="13"/>
      <c r="AZ132" s="13"/>
      <c r="BA132" s="13"/>
      <c r="BB132" s="13"/>
      <c r="BC132" s="13"/>
      <c r="BD132" s="13"/>
      <c r="BE132" s="13"/>
      <c r="BF132" s="13"/>
      <c r="BG132" s="13"/>
      <c r="BH132" s="13"/>
      <c r="BI132" s="13"/>
      <c r="BJ132" s="13"/>
      <c r="BK132" s="13"/>
      <c r="BL132" s="13"/>
      <c r="BM132" s="13"/>
      <c r="BN132" s="13"/>
      <c r="BO132" s="13"/>
      <c r="BP132" s="13"/>
      <c r="BQ132" s="13"/>
      <c r="BR132" s="13"/>
      <c r="BS132" s="13"/>
      <c r="BT132" s="13"/>
      <c r="BU132" s="13"/>
      <c r="BV132" s="13"/>
      <c r="BW132" s="13"/>
      <c r="BX132" s="13"/>
    </row>
    <row r="133" spans="1:76" s="64" customFormat="1" x14ac:dyDescent="0.35">
      <c r="G133" s="128"/>
      <c r="H133" s="128"/>
      <c r="AN133" s="13"/>
      <c r="AO133" s="13"/>
      <c r="AP133" s="13"/>
      <c r="AQ133" s="13"/>
      <c r="AR133" s="13"/>
      <c r="AS133" s="13"/>
      <c r="AT133" s="13"/>
      <c r="AU133" s="13"/>
      <c r="AV133" s="13"/>
      <c r="AW133" s="13"/>
      <c r="AX133" s="13"/>
      <c r="AY133" s="13"/>
      <c r="AZ133" s="13"/>
      <c r="BA133" s="13"/>
      <c r="BB133" s="13"/>
      <c r="BC133" s="13"/>
      <c r="BD133" s="13"/>
      <c r="BE133" s="13"/>
      <c r="BF133" s="13"/>
      <c r="BG133" s="13"/>
      <c r="BH133" s="13"/>
      <c r="BI133" s="13"/>
      <c r="BJ133" s="13"/>
      <c r="BK133" s="13"/>
      <c r="BL133" s="13"/>
      <c r="BM133" s="13"/>
      <c r="BN133" s="13"/>
      <c r="BO133" s="13"/>
      <c r="BP133" s="13"/>
      <c r="BQ133" s="13"/>
      <c r="BR133" s="13"/>
      <c r="BS133" s="13"/>
      <c r="BT133" s="13"/>
      <c r="BU133" s="13"/>
      <c r="BV133" s="13"/>
      <c r="BW133" s="13"/>
      <c r="BX133" s="13"/>
    </row>
    <row r="134" spans="1:76" s="64" customFormat="1" x14ac:dyDescent="0.35">
      <c r="G134" s="128"/>
      <c r="H134" s="128"/>
      <c r="AN134" s="13"/>
      <c r="AO134" s="13"/>
      <c r="AP134" s="13"/>
      <c r="AQ134" s="13"/>
      <c r="AR134" s="13"/>
      <c r="AS134" s="13"/>
      <c r="AT134" s="13"/>
      <c r="AU134" s="13"/>
      <c r="AV134" s="13"/>
      <c r="AW134" s="13"/>
      <c r="AX134" s="13"/>
      <c r="AY134" s="13"/>
      <c r="AZ134" s="13"/>
      <c r="BA134" s="13"/>
      <c r="BB134" s="13"/>
      <c r="BC134" s="13"/>
      <c r="BD134" s="13"/>
      <c r="BE134" s="13"/>
      <c r="BF134" s="13"/>
      <c r="BG134" s="13"/>
      <c r="BH134" s="13"/>
      <c r="BI134" s="13"/>
      <c r="BJ134" s="13"/>
      <c r="BK134" s="13"/>
      <c r="BL134" s="13"/>
      <c r="BM134" s="13"/>
      <c r="BN134" s="13"/>
      <c r="BO134" s="13"/>
      <c r="BP134" s="13"/>
      <c r="BQ134" s="13"/>
      <c r="BR134" s="13"/>
      <c r="BS134" s="13"/>
      <c r="BT134" s="13"/>
      <c r="BU134" s="13"/>
      <c r="BV134" s="13"/>
      <c r="BW134" s="13"/>
      <c r="BX134" s="13"/>
    </row>
    <row r="135" spans="1:76" s="64" customFormat="1" x14ac:dyDescent="0.35">
      <c r="G135" s="128"/>
      <c r="H135" s="128"/>
      <c r="AN135" s="13"/>
      <c r="AO135" s="13"/>
      <c r="AP135" s="13"/>
      <c r="AQ135" s="13"/>
      <c r="AR135" s="13"/>
      <c r="AS135" s="13"/>
      <c r="AT135" s="13"/>
      <c r="AU135" s="13"/>
      <c r="AV135" s="13"/>
      <c r="AW135" s="13"/>
      <c r="AX135" s="13"/>
      <c r="AY135" s="13"/>
      <c r="AZ135" s="13"/>
      <c r="BA135" s="13"/>
      <c r="BB135" s="13"/>
      <c r="BC135" s="13"/>
      <c r="BD135" s="13"/>
      <c r="BE135" s="13"/>
      <c r="BF135" s="13"/>
      <c r="BG135" s="13"/>
      <c r="BH135" s="13"/>
      <c r="BI135" s="13"/>
      <c r="BJ135" s="13"/>
      <c r="BK135" s="13"/>
      <c r="BL135" s="13"/>
      <c r="BM135" s="13"/>
      <c r="BN135" s="13"/>
      <c r="BO135" s="13"/>
      <c r="BP135" s="13"/>
      <c r="BQ135" s="13"/>
      <c r="BR135" s="13"/>
      <c r="BS135" s="13"/>
      <c r="BT135" s="13"/>
      <c r="BU135" s="13"/>
      <c r="BV135" s="13"/>
      <c r="BW135" s="13"/>
      <c r="BX135" s="13"/>
    </row>
    <row r="136" spans="1:76" s="64" customFormat="1" x14ac:dyDescent="0.35">
      <c r="G136" s="128"/>
      <c r="H136" s="128"/>
      <c r="AN136" s="13"/>
      <c r="AO136" s="13"/>
      <c r="AP136" s="13"/>
      <c r="AQ136" s="13"/>
      <c r="AR136" s="13"/>
      <c r="AS136" s="13"/>
      <c r="AT136" s="13"/>
      <c r="AU136" s="13"/>
      <c r="AV136" s="13"/>
      <c r="AW136" s="13"/>
      <c r="AX136" s="13"/>
      <c r="AY136" s="13"/>
      <c r="AZ136" s="13"/>
      <c r="BA136" s="13"/>
      <c r="BB136" s="13"/>
      <c r="BC136" s="13"/>
      <c r="BD136" s="13"/>
      <c r="BE136" s="13"/>
      <c r="BF136" s="13"/>
      <c r="BG136" s="13"/>
      <c r="BH136" s="13"/>
      <c r="BI136" s="13"/>
      <c r="BJ136" s="13"/>
      <c r="BK136" s="13"/>
      <c r="BL136" s="13"/>
      <c r="BM136" s="13"/>
      <c r="BN136" s="13"/>
      <c r="BO136" s="13"/>
      <c r="BP136" s="13"/>
      <c r="BQ136" s="13"/>
      <c r="BR136" s="13"/>
      <c r="BS136" s="13"/>
      <c r="BT136" s="13"/>
      <c r="BU136" s="13"/>
      <c r="BV136" s="13"/>
      <c r="BW136" s="13"/>
      <c r="BX136" s="13"/>
    </row>
    <row r="137" spans="1:76" s="64" customFormat="1" x14ac:dyDescent="0.35">
      <c r="G137" s="128"/>
      <c r="H137" s="128"/>
      <c r="AN137" s="13"/>
      <c r="AO137" s="13"/>
      <c r="AP137" s="13"/>
      <c r="AQ137" s="13"/>
      <c r="AR137" s="13"/>
      <c r="AS137" s="13"/>
      <c r="AT137" s="13"/>
      <c r="AU137" s="13"/>
      <c r="AV137" s="13"/>
      <c r="AW137" s="13"/>
      <c r="AX137" s="13"/>
      <c r="AY137" s="13"/>
      <c r="AZ137" s="13"/>
      <c r="BA137" s="13"/>
      <c r="BB137" s="13"/>
      <c r="BC137" s="13"/>
      <c r="BD137" s="13"/>
      <c r="BE137" s="13"/>
      <c r="BF137" s="13"/>
      <c r="BG137" s="13"/>
      <c r="BH137" s="13"/>
      <c r="BI137" s="13"/>
      <c r="BJ137" s="13"/>
      <c r="BK137" s="13"/>
      <c r="BL137" s="13"/>
      <c r="BM137" s="13"/>
      <c r="BN137" s="13"/>
      <c r="BO137" s="13"/>
      <c r="BP137" s="13"/>
      <c r="BQ137" s="13"/>
      <c r="BR137" s="13"/>
      <c r="BS137" s="13"/>
      <c r="BT137" s="13"/>
      <c r="BU137" s="13"/>
      <c r="BV137" s="13"/>
      <c r="BW137" s="13"/>
      <c r="BX137" s="13"/>
    </row>
    <row r="138" spans="1:76" s="64" customFormat="1" x14ac:dyDescent="0.35">
      <c r="G138" s="128"/>
      <c r="H138" s="128"/>
      <c r="AN138" s="13"/>
      <c r="AO138" s="13"/>
      <c r="AP138" s="13"/>
      <c r="AQ138" s="13"/>
      <c r="AR138" s="13"/>
      <c r="AS138" s="13"/>
      <c r="AT138" s="13"/>
      <c r="AU138" s="13"/>
      <c r="AV138" s="13"/>
      <c r="AW138" s="13"/>
      <c r="AX138" s="13"/>
      <c r="AY138" s="13"/>
      <c r="AZ138" s="13"/>
      <c r="BA138" s="13"/>
      <c r="BB138" s="13"/>
      <c r="BC138" s="13"/>
      <c r="BD138" s="13"/>
      <c r="BE138" s="13"/>
      <c r="BF138" s="13"/>
      <c r="BG138" s="13"/>
      <c r="BH138" s="13"/>
      <c r="BI138" s="13"/>
      <c r="BJ138" s="13"/>
      <c r="BK138" s="13"/>
      <c r="BL138" s="13"/>
      <c r="BM138" s="13"/>
      <c r="BN138" s="13"/>
      <c r="BO138" s="13"/>
      <c r="BP138" s="13"/>
      <c r="BQ138" s="13"/>
      <c r="BR138" s="13"/>
      <c r="BS138" s="13"/>
      <c r="BT138" s="13"/>
      <c r="BU138" s="13"/>
      <c r="BV138" s="13"/>
      <c r="BW138" s="13"/>
      <c r="BX138" s="13"/>
    </row>
    <row r="139" spans="1:76" s="64" customFormat="1" x14ac:dyDescent="0.35">
      <c r="G139" s="128"/>
      <c r="H139" s="128"/>
      <c r="AN139" s="13"/>
      <c r="AO139" s="13"/>
      <c r="AP139" s="13"/>
      <c r="AQ139" s="13"/>
      <c r="AR139" s="13"/>
      <c r="AS139" s="13"/>
      <c r="AT139" s="13"/>
      <c r="AU139" s="13"/>
      <c r="AV139" s="13"/>
      <c r="AW139" s="13"/>
      <c r="AX139" s="13"/>
      <c r="AY139" s="13"/>
      <c r="AZ139" s="13"/>
      <c r="BA139" s="13"/>
      <c r="BB139" s="13"/>
      <c r="BC139" s="13"/>
      <c r="BD139" s="13"/>
      <c r="BE139" s="13"/>
      <c r="BF139" s="13"/>
      <c r="BG139" s="13"/>
      <c r="BH139" s="13"/>
      <c r="BI139" s="13"/>
      <c r="BJ139" s="13"/>
      <c r="BK139" s="13"/>
      <c r="BL139" s="13"/>
      <c r="BM139" s="13"/>
      <c r="BN139" s="13"/>
      <c r="BO139" s="13"/>
      <c r="BP139" s="13"/>
      <c r="BQ139" s="13"/>
      <c r="BR139" s="13"/>
      <c r="BS139" s="13"/>
      <c r="BT139" s="13"/>
      <c r="BU139" s="13"/>
      <c r="BV139" s="13"/>
      <c r="BW139" s="13"/>
      <c r="BX139" s="13"/>
    </row>
    <row r="140" spans="1:76" s="64" customFormat="1" x14ac:dyDescent="0.35">
      <c r="G140" s="128"/>
      <c r="H140" s="128"/>
      <c r="AN140" s="13"/>
      <c r="AO140" s="13"/>
      <c r="AP140" s="13"/>
      <c r="AQ140" s="13"/>
      <c r="AR140" s="13"/>
      <c r="AS140" s="13"/>
      <c r="AT140" s="13"/>
      <c r="AU140" s="13"/>
      <c r="AV140" s="13"/>
      <c r="AW140" s="13"/>
      <c r="AX140" s="13"/>
      <c r="AY140" s="13"/>
      <c r="AZ140" s="13"/>
      <c r="BA140" s="13"/>
      <c r="BB140" s="13"/>
      <c r="BC140" s="13"/>
      <c r="BD140" s="13"/>
      <c r="BE140" s="13"/>
      <c r="BF140" s="13"/>
      <c r="BG140" s="13"/>
      <c r="BH140" s="13"/>
      <c r="BI140" s="13"/>
      <c r="BJ140" s="13"/>
      <c r="BK140" s="13"/>
      <c r="BL140" s="13"/>
      <c r="BM140" s="13"/>
      <c r="BN140" s="13"/>
      <c r="BO140" s="13"/>
      <c r="BP140" s="13"/>
      <c r="BQ140" s="13"/>
      <c r="BR140" s="13"/>
      <c r="BS140" s="13"/>
      <c r="BT140" s="13"/>
      <c r="BU140" s="13"/>
      <c r="BV140" s="13"/>
      <c r="BW140" s="13"/>
      <c r="BX140" s="13"/>
    </row>
    <row r="141" spans="1:76" s="64" customFormat="1" x14ac:dyDescent="0.35">
      <c r="A141" s="13"/>
      <c r="B141" s="13"/>
      <c r="C141" s="13"/>
      <c r="D141" s="13"/>
      <c r="E141" s="13"/>
      <c r="F141" s="13"/>
      <c r="G141" s="129"/>
      <c r="H141" s="129"/>
      <c r="I141" s="13"/>
      <c r="M141" s="13"/>
      <c r="AN141" s="13"/>
      <c r="AO141" s="13"/>
      <c r="AP141" s="13"/>
      <c r="AQ141" s="13"/>
      <c r="AR141" s="13"/>
      <c r="AS141" s="13"/>
      <c r="AT141" s="13"/>
      <c r="AU141" s="13"/>
      <c r="AV141" s="13"/>
      <c r="AW141" s="13"/>
      <c r="AX141" s="13"/>
      <c r="AY141" s="13"/>
      <c r="AZ141" s="13"/>
      <c r="BA141" s="13"/>
      <c r="BB141" s="13"/>
      <c r="BC141" s="13"/>
      <c r="BD141" s="13"/>
      <c r="BE141" s="13"/>
      <c r="BF141" s="13"/>
      <c r="BG141" s="13"/>
      <c r="BH141" s="13"/>
      <c r="BI141" s="13"/>
      <c r="BJ141" s="13"/>
      <c r="BK141" s="13"/>
      <c r="BL141" s="13"/>
      <c r="BM141" s="13"/>
      <c r="BN141" s="13"/>
      <c r="BO141" s="13"/>
      <c r="BP141" s="13"/>
      <c r="BQ141" s="13"/>
      <c r="BR141" s="13"/>
      <c r="BS141" s="13"/>
      <c r="BT141" s="13"/>
      <c r="BU141" s="13"/>
      <c r="BV141" s="13"/>
      <c r="BW141" s="13"/>
      <c r="BX141" s="13"/>
    </row>
    <row r="142" spans="1:76" s="13" customFormat="1" x14ac:dyDescent="0.35">
      <c r="A142" s="1"/>
      <c r="B142" s="1"/>
      <c r="C142" s="1"/>
      <c r="D142" s="1"/>
      <c r="E142" s="1"/>
      <c r="F142" s="1"/>
      <c r="G142" s="18"/>
      <c r="H142" s="18"/>
      <c r="J142" s="64"/>
      <c r="K142" s="64"/>
      <c r="L142" s="64"/>
      <c r="M142" s="1"/>
      <c r="N142" s="64"/>
      <c r="O142" s="64"/>
      <c r="P142" s="64"/>
      <c r="Q142" s="64"/>
      <c r="R142" s="64"/>
      <c r="S142" s="64"/>
      <c r="T142" s="64"/>
      <c r="U142" s="64"/>
      <c r="V142" s="64"/>
      <c r="W142" s="64"/>
      <c r="X142" s="64"/>
      <c r="Y142" s="64"/>
      <c r="Z142" s="64"/>
      <c r="AA142" s="64"/>
      <c r="AB142" s="64"/>
      <c r="AC142" s="64"/>
      <c r="AD142" s="64"/>
      <c r="AE142" s="64"/>
      <c r="AF142" s="64"/>
      <c r="AG142" s="64"/>
      <c r="AH142" s="64"/>
      <c r="AI142" s="64"/>
      <c r="AJ142" s="64"/>
      <c r="AK142" s="64"/>
      <c r="AL142" s="64"/>
      <c r="AM142" s="64"/>
    </row>
  </sheetData>
  <sheetProtection algorithmName="SHA-512" hashValue="V3144gsb2h8sPEEqWINYR69kb9VdC3W64xqyNBqGHMyjiXVm7HcxAgTL5vGr8WBpBxetNGOBoYXjy6oGpoJKgg==" saltValue="uprtktOhlzuoNhIoEmjIcQ==" spinCount="100000" sheet="1" objects="1" scenarios="1"/>
  <protectedRanges>
    <protectedRange sqref="C13:C16 D15:D16" name="Range1"/>
  </protectedRanges>
  <mergeCells count="6">
    <mergeCell ref="B8:E8"/>
    <mergeCell ref="C3:E3"/>
    <mergeCell ref="B4:E4"/>
    <mergeCell ref="B5:E5"/>
    <mergeCell ref="B6:E6"/>
    <mergeCell ref="B7:E7"/>
  </mergeCell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200-000000000000}">
          <x14:formula1>
            <xm:f>Assumptions!$T$3:$T$25</xm:f>
          </x14:formula1>
          <xm:sqref>C13</xm:sqref>
        </x14:dataValidation>
        <x14:dataValidation type="list" allowBlank="1" showInputMessage="1" showErrorMessage="1" xr:uid="{00000000-0002-0000-0200-000001000000}">
          <x14:formula1>
            <xm:f>Assumptions!$U$3:$U$4</xm:f>
          </x14:formula1>
          <xm:sqref>D15:D16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">
    <tabColor theme="4"/>
  </sheetPr>
  <dimension ref="A1:BY149"/>
  <sheetViews>
    <sheetView zoomScaleNormal="100" zoomScalePageLayoutView="80" workbookViewId="0">
      <pane ySplit="1" topLeftCell="A10" activePane="bottomLeft" state="frozen"/>
      <selection pane="bottomLeft" activeCell="D20" sqref="D20"/>
    </sheetView>
  </sheetViews>
  <sheetFormatPr defaultColWidth="8.7265625" defaultRowHeight="14.5" x14ac:dyDescent="0.35"/>
  <cols>
    <col min="1" max="1" width="3.7265625" style="1" customWidth="1"/>
    <col min="2" max="2" width="61.453125" style="1" customWidth="1"/>
    <col min="3" max="3" width="12.7265625" style="1" customWidth="1"/>
    <col min="4" max="4" width="18.7265625" style="1" customWidth="1"/>
    <col min="5" max="5" width="15" style="1" customWidth="1"/>
    <col min="6" max="6" width="4.26953125" style="1" customWidth="1"/>
    <col min="7" max="7" width="12.26953125" style="171" hidden="1" customWidth="1"/>
    <col min="8" max="8" width="10.26953125" style="171" hidden="1" customWidth="1"/>
    <col min="9" max="9" width="12.453125" style="167" hidden="1" customWidth="1"/>
    <col min="10" max="10" width="22.453125" style="64" hidden="1" customWidth="1"/>
    <col min="11" max="11" width="7.7265625" style="64" hidden="1" customWidth="1"/>
    <col min="12" max="12" width="8" style="64" hidden="1" customWidth="1"/>
    <col min="13" max="13" width="8.453125" style="1" hidden="1" customWidth="1"/>
    <col min="14" max="14" width="8.7265625" style="64" hidden="1" customWidth="1"/>
    <col min="15" max="17" width="8.453125" style="64" hidden="1" customWidth="1"/>
    <col min="18" max="18" width="26.26953125" style="64" customWidth="1"/>
    <col min="19" max="39" width="8.453125" style="64" customWidth="1"/>
    <col min="40" max="45" width="8.453125" style="13" customWidth="1"/>
    <col min="46" max="77" width="8.7265625" style="13"/>
    <col min="78" max="16384" width="8.7265625" style="1"/>
  </cols>
  <sheetData>
    <row r="1" spans="1:77" s="66" customFormat="1" ht="32.25" customHeight="1" x14ac:dyDescent="0.35">
      <c r="A1" s="63" t="s">
        <v>11</v>
      </c>
      <c r="B1" s="64"/>
      <c r="C1" s="64"/>
      <c r="D1" s="64"/>
      <c r="E1" s="64"/>
      <c r="G1" s="168"/>
      <c r="H1" s="168"/>
      <c r="I1" s="165" t="s">
        <v>1</v>
      </c>
      <c r="AN1" s="503"/>
      <c r="AO1" s="503"/>
      <c r="AP1" s="503"/>
      <c r="AQ1" s="503"/>
      <c r="AR1" s="503"/>
      <c r="AS1" s="503"/>
      <c r="AT1" s="503"/>
      <c r="AU1" s="503"/>
      <c r="AV1" s="503"/>
      <c r="AW1" s="503"/>
      <c r="AX1" s="503"/>
      <c r="AY1" s="503"/>
      <c r="AZ1" s="503"/>
      <c r="BA1" s="503"/>
      <c r="BB1" s="503"/>
      <c r="BC1" s="503"/>
      <c r="BD1" s="503"/>
      <c r="BE1" s="503"/>
      <c r="BF1" s="503"/>
      <c r="BG1" s="503"/>
      <c r="BH1" s="503"/>
      <c r="BI1" s="503"/>
      <c r="BJ1" s="503"/>
      <c r="BK1" s="503"/>
      <c r="BL1" s="503"/>
      <c r="BM1" s="503"/>
      <c r="BN1" s="503"/>
      <c r="BO1" s="503"/>
      <c r="BP1" s="503"/>
      <c r="BQ1" s="503"/>
      <c r="BR1" s="503"/>
      <c r="BS1" s="503"/>
      <c r="BT1" s="503"/>
      <c r="BU1" s="503"/>
      <c r="BV1" s="503"/>
      <c r="BW1" s="503"/>
      <c r="BX1" s="503"/>
      <c r="BY1" s="503"/>
    </row>
    <row r="2" spans="1:77" s="66" customFormat="1" ht="15" customHeight="1" x14ac:dyDescent="0.35">
      <c r="A2" s="63"/>
      <c r="B2" s="64"/>
      <c r="C2" s="64"/>
      <c r="D2" s="64"/>
      <c r="E2" s="64"/>
      <c r="G2" s="168"/>
      <c r="H2" s="168"/>
      <c r="I2" s="165"/>
      <c r="AN2" s="503"/>
      <c r="AO2" s="503"/>
      <c r="AP2" s="503"/>
      <c r="AQ2" s="503"/>
      <c r="AR2" s="503"/>
      <c r="AS2" s="503"/>
      <c r="AT2" s="503"/>
      <c r="AU2" s="503"/>
      <c r="AV2" s="503"/>
      <c r="AW2" s="503"/>
      <c r="AX2" s="503"/>
      <c r="AY2" s="503"/>
      <c r="AZ2" s="503"/>
      <c r="BA2" s="503"/>
      <c r="BB2" s="503"/>
      <c r="BC2" s="503"/>
      <c r="BD2" s="503"/>
      <c r="BE2" s="503"/>
      <c r="BF2" s="503"/>
      <c r="BG2" s="503"/>
      <c r="BH2" s="503"/>
      <c r="BI2" s="503"/>
      <c r="BJ2" s="503"/>
      <c r="BK2" s="503"/>
      <c r="BL2" s="503"/>
      <c r="BM2" s="503"/>
      <c r="BN2" s="503"/>
      <c r="BO2" s="503"/>
      <c r="BP2" s="503"/>
      <c r="BQ2" s="503"/>
      <c r="BR2" s="503"/>
      <c r="BS2" s="503"/>
      <c r="BT2" s="503"/>
      <c r="BU2" s="503"/>
      <c r="BV2" s="503"/>
      <c r="BW2" s="503"/>
      <c r="BX2" s="503"/>
      <c r="BY2" s="503"/>
    </row>
    <row r="3" spans="1:77" s="66" customFormat="1" ht="15.75" customHeight="1" x14ac:dyDescent="0.35">
      <c r="A3" s="185"/>
      <c r="B3" s="61" t="s">
        <v>77</v>
      </c>
      <c r="C3" s="549"/>
      <c r="D3" s="549"/>
      <c r="E3" s="549"/>
      <c r="F3" s="184"/>
      <c r="G3" s="168"/>
      <c r="H3" s="168"/>
      <c r="I3" s="165"/>
      <c r="AN3" s="503"/>
      <c r="AO3" s="503"/>
      <c r="AP3" s="503"/>
      <c r="AQ3" s="503"/>
      <c r="AR3" s="503"/>
      <c r="AS3" s="503"/>
      <c r="AT3" s="503"/>
      <c r="AU3" s="503"/>
      <c r="AV3" s="503"/>
      <c r="AW3" s="503"/>
      <c r="AX3" s="503"/>
      <c r="AY3" s="503"/>
      <c r="AZ3" s="503"/>
      <c r="BA3" s="503"/>
      <c r="BB3" s="503"/>
      <c r="BC3" s="503"/>
      <c r="BD3" s="503"/>
      <c r="BE3" s="503"/>
      <c r="BF3" s="503"/>
      <c r="BG3" s="503"/>
      <c r="BH3" s="503"/>
      <c r="BI3" s="503"/>
      <c r="BJ3" s="503"/>
      <c r="BK3" s="503"/>
      <c r="BL3" s="503"/>
      <c r="BM3" s="503"/>
      <c r="BN3" s="503"/>
      <c r="BO3" s="503"/>
      <c r="BP3" s="503"/>
      <c r="BQ3" s="503"/>
      <c r="BR3" s="503"/>
      <c r="BS3" s="503"/>
      <c r="BT3" s="503"/>
      <c r="BU3" s="503"/>
      <c r="BV3" s="503"/>
      <c r="BW3" s="503"/>
      <c r="BX3" s="503"/>
      <c r="BY3" s="503"/>
    </row>
    <row r="4" spans="1:77" customFormat="1" ht="23.5" x14ac:dyDescent="0.35">
      <c r="A4" s="186"/>
      <c r="B4" s="550" t="s">
        <v>78</v>
      </c>
      <c r="C4" s="550"/>
      <c r="D4" s="550"/>
      <c r="E4" s="550"/>
      <c r="F4" s="187"/>
      <c r="G4" s="66"/>
      <c r="H4" s="64"/>
      <c r="I4" s="64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66"/>
      <c r="AI4" s="66"/>
      <c r="AJ4" s="66"/>
      <c r="AK4" s="66"/>
      <c r="AL4" s="66"/>
      <c r="AM4" s="66"/>
      <c r="AN4" s="50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  <c r="BO4" s="13"/>
      <c r="BP4" s="13"/>
      <c r="BQ4" s="13"/>
      <c r="BR4" s="13"/>
      <c r="BS4" s="13"/>
      <c r="BT4" s="13"/>
      <c r="BU4" s="13"/>
      <c r="BV4" s="13"/>
      <c r="BW4" s="13"/>
      <c r="BX4" s="13"/>
      <c r="BY4" s="13"/>
    </row>
    <row r="5" spans="1:77" customFormat="1" ht="30" customHeight="1" x14ac:dyDescent="0.35">
      <c r="A5" s="186"/>
      <c r="B5" s="551" t="s">
        <v>79</v>
      </c>
      <c r="C5" s="551"/>
      <c r="D5" s="551"/>
      <c r="E5" s="551"/>
      <c r="F5" s="187"/>
      <c r="G5" s="66"/>
      <c r="H5" s="64"/>
      <c r="I5" s="64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66"/>
      <c r="W5" s="66"/>
      <c r="X5" s="66"/>
      <c r="Y5" s="66"/>
      <c r="Z5" s="66"/>
      <c r="AA5" s="66"/>
      <c r="AB5" s="66"/>
      <c r="AC5" s="66"/>
      <c r="AD5" s="66"/>
      <c r="AE5" s="66"/>
      <c r="AF5" s="66"/>
      <c r="AG5" s="66"/>
      <c r="AH5" s="66"/>
      <c r="AI5" s="66"/>
      <c r="AJ5" s="66"/>
      <c r="AK5" s="66"/>
      <c r="AL5" s="66"/>
      <c r="AM5" s="66"/>
      <c r="AN5" s="50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  <c r="BO5" s="13"/>
      <c r="BP5" s="13"/>
      <c r="BQ5" s="13"/>
      <c r="BR5" s="13"/>
      <c r="BS5" s="13"/>
      <c r="BT5" s="13"/>
      <c r="BU5" s="13"/>
      <c r="BV5" s="13"/>
      <c r="BW5" s="13"/>
      <c r="BX5" s="13"/>
      <c r="BY5" s="13"/>
    </row>
    <row r="6" spans="1:77" customFormat="1" ht="29.25" customHeight="1" x14ac:dyDescent="0.35">
      <c r="A6" s="186"/>
      <c r="B6" s="552" t="s">
        <v>80</v>
      </c>
      <c r="C6" s="552"/>
      <c r="D6" s="552"/>
      <c r="E6" s="552"/>
      <c r="F6" s="187"/>
      <c r="G6" s="66"/>
      <c r="H6" s="64"/>
      <c r="I6" s="64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  <c r="AA6" s="66"/>
      <c r="AB6" s="66"/>
      <c r="AC6" s="66"/>
      <c r="AD6" s="66"/>
      <c r="AE6" s="66"/>
      <c r="AF6" s="66"/>
      <c r="AG6" s="66"/>
      <c r="AH6" s="66"/>
      <c r="AI6" s="66"/>
      <c r="AJ6" s="66"/>
      <c r="AK6" s="66"/>
      <c r="AL6" s="66"/>
      <c r="AM6" s="66"/>
      <c r="AN6" s="50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  <c r="BO6" s="13"/>
      <c r="BP6" s="13"/>
      <c r="BQ6" s="13"/>
      <c r="BR6" s="13"/>
      <c r="BS6" s="13"/>
      <c r="BT6" s="13"/>
      <c r="BU6" s="13"/>
      <c r="BV6" s="13"/>
      <c r="BW6" s="13"/>
      <c r="BX6" s="13"/>
      <c r="BY6" s="13"/>
    </row>
    <row r="7" spans="1:77" customFormat="1" ht="27" customHeight="1" x14ac:dyDescent="0.35">
      <c r="A7" s="186"/>
      <c r="B7" s="553" t="s">
        <v>81</v>
      </c>
      <c r="C7" s="553"/>
      <c r="D7" s="553"/>
      <c r="E7" s="553"/>
      <c r="F7" s="187"/>
      <c r="G7" s="66"/>
      <c r="H7" s="64"/>
      <c r="I7" s="64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66"/>
      <c r="Y7" s="66"/>
      <c r="Z7" s="66"/>
      <c r="AA7" s="66"/>
      <c r="AB7" s="66"/>
      <c r="AC7" s="66"/>
      <c r="AD7" s="66"/>
      <c r="AE7" s="66"/>
      <c r="AF7" s="66"/>
      <c r="AG7" s="66"/>
      <c r="AH7" s="66"/>
      <c r="AI7" s="66"/>
      <c r="AJ7" s="66"/>
      <c r="AK7" s="66"/>
      <c r="AL7" s="66"/>
      <c r="AM7" s="66"/>
      <c r="AN7" s="50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  <c r="BO7" s="13"/>
      <c r="BP7" s="13"/>
      <c r="BQ7" s="13"/>
      <c r="BR7" s="13"/>
      <c r="BS7" s="13"/>
      <c r="BT7" s="13"/>
      <c r="BU7" s="13"/>
      <c r="BV7" s="13"/>
      <c r="BW7" s="13"/>
      <c r="BX7" s="13"/>
      <c r="BY7" s="13"/>
    </row>
    <row r="8" spans="1:77" customFormat="1" ht="23.5" x14ac:dyDescent="0.35">
      <c r="A8" s="186"/>
      <c r="B8" s="548" t="s">
        <v>82</v>
      </c>
      <c r="C8" s="548"/>
      <c r="D8" s="548"/>
      <c r="E8" s="548"/>
      <c r="F8" s="187"/>
      <c r="G8" s="66"/>
      <c r="H8" s="64"/>
      <c r="I8" s="64"/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  <c r="U8" s="66"/>
      <c r="V8" s="66"/>
      <c r="W8" s="66"/>
      <c r="X8" s="66"/>
      <c r="Y8" s="66"/>
      <c r="Z8" s="66"/>
      <c r="AA8" s="66"/>
      <c r="AB8" s="66"/>
      <c r="AC8" s="66"/>
      <c r="AD8" s="66"/>
      <c r="AE8" s="66"/>
      <c r="AF8" s="66"/>
      <c r="AG8" s="66"/>
      <c r="AH8" s="66"/>
      <c r="AI8" s="66"/>
      <c r="AJ8" s="66"/>
      <c r="AK8" s="66"/>
      <c r="AL8" s="66"/>
      <c r="AM8" s="66"/>
      <c r="AN8" s="50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  <c r="BO8" s="13"/>
      <c r="BP8" s="13"/>
      <c r="BQ8" s="13"/>
      <c r="BR8" s="13"/>
      <c r="BS8" s="13"/>
      <c r="BT8" s="13"/>
      <c r="BU8" s="13"/>
      <c r="BV8" s="13"/>
      <c r="BW8" s="13"/>
      <c r="BX8" s="13"/>
      <c r="BY8" s="13"/>
    </row>
    <row r="9" spans="1:77" s="66" customFormat="1" ht="12.75" customHeight="1" x14ac:dyDescent="0.35">
      <c r="A9" s="184"/>
      <c r="B9" s="184"/>
      <c r="C9" s="184"/>
      <c r="D9" s="184"/>
      <c r="E9" s="184"/>
      <c r="F9" s="184"/>
      <c r="G9" s="168"/>
      <c r="H9" s="168"/>
      <c r="I9" s="165"/>
      <c r="AN9" s="503"/>
      <c r="AO9" s="503"/>
      <c r="AP9" s="503"/>
      <c r="AQ9" s="503"/>
      <c r="AR9" s="503"/>
      <c r="AS9" s="503"/>
      <c r="AT9" s="503"/>
      <c r="AU9" s="503"/>
      <c r="AV9" s="503"/>
      <c r="AW9" s="503"/>
      <c r="AX9" s="503"/>
      <c r="AY9" s="503"/>
      <c r="AZ9" s="503"/>
      <c r="BA9" s="503"/>
      <c r="BB9" s="503"/>
      <c r="BC9" s="503"/>
      <c r="BD9" s="503"/>
      <c r="BE9" s="503"/>
      <c r="BF9" s="503"/>
      <c r="BG9" s="503"/>
      <c r="BH9" s="503"/>
      <c r="BI9" s="503"/>
      <c r="BJ9" s="503"/>
      <c r="BK9" s="503"/>
      <c r="BL9" s="503"/>
      <c r="BM9" s="503"/>
      <c r="BN9" s="503"/>
      <c r="BO9" s="503"/>
      <c r="BP9" s="503"/>
      <c r="BQ9" s="503"/>
      <c r="BR9" s="503"/>
      <c r="BS9" s="503"/>
      <c r="BT9" s="503"/>
      <c r="BU9" s="503"/>
      <c r="BV9" s="503"/>
      <c r="BW9" s="503"/>
      <c r="BX9" s="503"/>
      <c r="BY9" s="503"/>
    </row>
    <row r="10" spans="1:77" s="66" customFormat="1" ht="32.25" customHeight="1" x14ac:dyDescent="0.35">
      <c r="G10" s="168"/>
      <c r="H10" s="168"/>
      <c r="I10" s="165"/>
      <c r="AN10" s="503"/>
      <c r="AO10" s="503"/>
      <c r="AP10" s="503"/>
      <c r="AQ10" s="503"/>
      <c r="AR10" s="503"/>
      <c r="AS10" s="503"/>
      <c r="AT10" s="503"/>
      <c r="AU10" s="503"/>
      <c r="AV10" s="503"/>
      <c r="AW10" s="503"/>
      <c r="AX10" s="503"/>
      <c r="AY10" s="503"/>
      <c r="AZ10" s="503"/>
      <c r="BA10" s="503"/>
      <c r="BB10" s="503"/>
      <c r="BC10" s="503"/>
      <c r="BD10" s="503"/>
      <c r="BE10" s="503"/>
      <c r="BF10" s="503"/>
      <c r="BG10" s="503"/>
      <c r="BH10" s="503"/>
      <c r="BI10" s="503"/>
      <c r="BJ10" s="503"/>
      <c r="BK10" s="503"/>
      <c r="BL10" s="503"/>
      <c r="BM10" s="503"/>
      <c r="BN10" s="503"/>
      <c r="BO10" s="503"/>
      <c r="BP10" s="503"/>
      <c r="BQ10" s="503"/>
      <c r="BR10" s="503"/>
      <c r="BS10" s="503"/>
      <c r="BT10" s="503"/>
      <c r="BU10" s="503"/>
      <c r="BV10" s="503"/>
      <c r="BW10" s="503"/>
      <c r="BX10" s="503"/>
      <c r="BY10" s="503"/>
    </row>
    <row r="11" spans="1:77" s="13" customFormat="1" ht="15.5" x14ac:dyDescent="0.35">
      <c r="A11" s="1"/>
      <c r="B11" s="61" t="s">
        <v>83</v>
      </c>
      <c r="C11" s="1"/>
      <c r="D11" s="1"/>
      <c r="E11" s="1"/>
      <c r="F11" s="1"/>
      <c r="G11" s="133"/>
      <c r="H11" s="133"/>
      <c r="I11" s="165"/>
      <c r="J11" s="64"/>
      <c r="K11" s="64"/>
      <c r="L11" s="64"/>
      <c r="M11" s="64"/>
      <c r="N11" s="64"/>
      <c r="O11" s="64"/>
      <c r="P11" s="64"/>
      <c r="Q11" s="64"/>
      <c r="R11" s="64"/>
      <c r="S11" s="64"/>
      <c r="T11" s="64"/>
      <c r="U11" s="64"/>
      <c r="V11" s="64"/>
      <c r="W11" s="64"/>
      <c r="X11" s="64"/>
      <c r="Y11" s="64"/>
      <c r="Z11" s="64"/>
      <c r="AA11" s="64"/>
      <c r="AB11" s="64"/>
      <c r="AC11" s="64"/>
      <c r="AD11" s="64"/>
      <c r="AE11" s="64"/>
      <c r="AF11" s="64"/>
      <c r="AG11" s="64"/>
      <c r="AH11" s="64"/>
      <c r="AI11" s="64"/>
      <c r="AJ11" s="64"/>
      <c r="AK11" s="64"/>
      <c r="AL11" s="64"/>
      <c r="AM11" s="64"/>
    </row>
    <row r="12" spans="1:77" s="13" customFormat="1" ht="26.5" x14ac:dyDescent="0.35">
      <c r="A12" s="1"/>
      <c r="B12" s="102" t="s">
        <v>84</v>
      </c>
      <c r="C12" s="102" t="s">
        <v>85</v>
      </c>
      <c r="D12" s="102" t="s">
        <v>86</v>
      </c>
      <c r="E12" s="102" t="s">
        <v>87</v>
      </c>
      <c r="F12" s="1"/>
      <c r="G12" s="169" t="s">
        <v>88</v>
      </c>
      <c r="H12" s="169" t="s">
        <v>89</v>
      </c>
      <c r="I12" s="115" t="s">
        <v>90</v>
      </c>
      <c r="J12" s="64"/>
      <c r="K12" s="64"/>
      <c r="L12" s="64"/>
      <c r="M12" s="64"/>
      <c r="N12" s="64"/>
      <c r="O12" s="64"/>
      <c r="P12" s="64"/>
      <c r="Q12" s="64"/>
      <c r="R12" s="64"/>
      <c r="S12" s="64"/>
      <c r="T12" s="64"/>
      <c r="U12" s="64"/>
      <c r="V12" s="64"/>
      <c r="W12" s="64"/>
      <c r="X12" s="64"/>
      <c r="Y12" s="64"/>
      <c r="Z12" s="64"/>
      <c r="AA12" s="64"/>
      <c r="AB12" s="64"/>
      <c r="AC12" s="64"/>
      <c r="AD12" s="64"/>
      <c r="AE12" s="64"/>
      <c r="AF12" s="64"/>
      <c r="AG12" s="64"/>
      <c r="AH12" s="64"/>
      <c r="AI12" s="64"/>
      <c r="AJ12" s="64"/>
      <c r="AK12" s="64"/>
      <c r="AL12" s="64"/>
      <c r="AM12" s="64"/>
    </row>
    <row r="13" spans="1:77" x14ac:dyDescent="0.35">
      <c r="B13" s="105" t="s">
        <v>91</v>
      </c>
      <c r="C13" s="509"/>
      <c r="D13" s="510"/>
      <c r="E13" s="106"/>
      <c r="G13" s="133"/>
      <c r="H13" s="134">
        <f>C13</f>
        <v>0</v>
      </c>
      <c r="I13" s="165"/>
      <c r="M13" s="64"/>
    </row>
    <row r="14" spans="1:77" x14ac:dyDescent="0.35">
      <c r="B14" s="105" t="s">
        <v>117</v>
      </c>
      <c r="C14" s="509"/>
      <c r="D14" s="510"/>
      <c r="E14" s="106"/>
      <c r="G14" s="133"/>
      <c r="H14" s="134">
        <f t="shared" ref="H14:H16" si="0">C14</f>
        <v>0</v>
      </c>
      <c r="I14" s="165"/>
      <c r="M14" s="64"/>
    </row>
    <row r="15" spans="1:77" x14ac:dyDescent="0.35">
      <c r="B15" s="105" t="s">
        <v>118</v>
      </c>
      <c r="C15" s="511"/>
      <c r="D15" s="510"/>
      <c r="E15" s="106"/>
      <c r="G15" s="133"/>
      <c r="H15" s="134">
        <f t="shared" si="0"/>
        <v>0</v>
      </c>
      <c r="I15" s="165"/>
      <c r="M15" s="64"/>
    </row>
    <row r="16" spans="1:77" ht="15" customHeight="1" x14ac:dyDescent="0.35">
      <c r="B16" s="105" t="s">
        <v>119</v>
      </c>
      <c r="C16" s="509" t="s">
        <v>120</v>
      </c>
      <c r="D16" s="510"/>
      <c r="E16" s="106"/>
      <c r="G16" s="133"/>
      <c r="H16" s="134" t="str">
        <f t="shared" si="0"/>
        <v>No</v>
      </c>
      <c r="I16" s="165"/>
      <c r="M16" s="64"/>
    </row>
    <row r="17" spans="1:77" x14ac:dyDescent="0.35">
      <c r="B17" s="105" t="s">
        <v>121</v>
      </c>
      <c r="C17" s="512"/>
      <c r="D17" s="513" t="s">
        <v>94</v>
      </c>
      <c r="E17" s="309">
        <f>IF(D17="Yes",G17," ")</f>
        <v>0.01</v>
      </c>
      <c r="G17" s="136">
        <f>IF(H16="Yes",((H26-H25)/H25*H27),1%)</f>
        <v>0.01</v>
      </c>
      <c r="H17" s="136">
        <f>IF(D17="Yes",E17,C17)</f>
        <v>0.01</v>
      </c>
      <c r="I17" s="166">
        <f t="shared" ref="I17:I20" si="1">IF(AND(D17="No",ISBLANK(C17)),1,IF(D17="Yes",IF(E17=0,1,0),0))</f>
        <v>0</v>
      </c>
      <c r="J17" s="505"/>
      <c r="M17" s="64"/>
    </row>
    <row r="18" spans="1:77" x14ac:dyDescent="0.35">
      <c r="B18" s="105" t="s">
        <v>122</v>
      </c>
      <c r="C18" s="515"/>
      <c r="D18" s="516" t="s">
        <v>94</v>
      </c>
      <c r="E18" s="339">
        <f>IF(D18="Yes",H15*(1+H17)," ")</f>
        <v>0</v>
      </c>
      <c r="G18" s="158">
        <f>H15*(1+H17)</f>
        <v>0</v>
      </c>
      <c r="H18" s="158">
        <f>IF(D18="Yes",E18,C18)</f>
        <v>0</v>
      </c>
      <c r="I18" s="166">
        <f t="shared" si="1"/>
        <v>1</v>
      </c>
      <c r="M18" s="64"/>
    </row>
    <row r="19" spans="1:77" x14ac:dyDescent="0.35">
      <c r="B19" s="105" t="s">
        <v>123</v>
      </c>
      <c r="C19" s="517"/>
      <c r="D19" s="516" t="s">
        <v>94</v>
      </c>
      <c r="E19" s="309">
        <f>IF(D19="Yes",G19," ")</f>
        <v>0.66700000000000004</v>
      </c>
      <c r="G19" s="400">
        <f>Assumptions!$D$17</f>
        <v>0.66700000000000004</v>
      </c>
      <c r="H19" s="400">
        <f>IF(D19="Yes",E19,C19)</f>
        <v>0.66700000000000004</v>
      </c>
      <c r="I19" s="166">
        <f t="shared" si="1"/>
        <v>0</v>
      </c>
      <c r="M19" s="64"/>
    </row>
    <row r="20" spans="1:77" x14ac:dyDescent="0.35">
      <c r="B20" s="105" t="s">
        <v>95</v>
      </c>
      <c r="C20" s="518"/>
      <c r="D20" s="516" t="s">
        <v>94</v>
      </c>
      <c r="E20" s="401">
        <f>IF(D20="Yes",G20," ")</f>
        <v>7.55</v>
      </c>
      <c r="G20" s="140">
        <f>Assumptions!$D$15</f>
        <v>7.55</v>
      </c>
      <c r="H20" s="140">
        <f>IF(D20="Yes",E20,C20)</f>
        <v>7.55</v>
      </c>
      <c r="I20" s="166">
        <f t="shared" si="1"/>
        <v>0</v>
      </c>
      <c r="M20" s="64"/>
    </row>
    <row r="21" spans="1:77" x14ac:dyDescent="0.35">
      <c r="B21" s="100"/>
      <c r="C21" s="101"/>
      <c r="D21" s="101"/>
      <c r="E21" s="101"/>
      <c r="G21" s="133"/>
      <c r="H21" s="133"/>
      <c r="I21" s="165"/>
      <c r="M21" s="64"/>
    </row>
    <row r="22" spans="1:77" s="64" customFormat="1" x14ac:dyDescent="0.35">
      <c r="B22" s="103"/>
      <c r="C22" s="104"/>
      <c r="D22" s="104"/>
      <c r="E22" s="104"/>
      <c r="G22" s="133"/>
      <c r="H22" s="133"/>
      <c r="I22" s="165"/>
      <c r="AN22" s="13"/>
      <c r="AO22" s="13"/>
      <c r="AP22" s="13"/>
      <c r="AQ22" s="13"/>
      <c r="AR22" s="13"/>
      <c r="AS22" s="13"/>
      <c r="AT22" s="13"/>
      <c r="AU22" s="13"/>
      <c r="AV22" s="13"/>
      <c r="AW22" s="13"/>
      <c r="AX22" s="13"/>
      <c r="AY22" s="13"/>
      <c r="AZ22" s="13"/>
      <c r="BA22" s="13"/>
      <c r="BB22" s="13"/>
      <c r="BC22" s="13"/>
      <c r="BD22" s="13"/>
      <c r="BE22" s="13"/>
      <c r="BF22" s="13"/>
      <c r="BG22" s="13"/>
      <c r="BH22" s="13"/>
      <c r="BI22" s="13"/>
      <c r="BJ22" s="13"/>
      <c r="BK22" s="13"/>
      <c r="BL22" s="13"/>
      <c r="BM22" s="13"/>
      <c r="BN22" s="13"/>
      <c r="BO22" s="13"/>
      <c r="BP22" s="13"/>
      <c r="BQ22" s="13"/>
      <c r="BR22" s="13"/>
      <c r="BS22" s="13"/>
      <c r="BT22" s="13"/>
      <c r="BU22" s="13"/>
      <c r="BV22" s="13"/>
      <c r="BW22" s="13"/>
      <c r="BX22" s="13"/>
      <c r="BY22" s="13"/>
    </row>
    <row r="23" spans="1:77" ht="15.5" x14ac:dyDescent="0.35">
      <c r="B23" s="61" t="s">
        <v>96</v>
      </c>
      <c r="G23" s="133"/>
      <c r="H23" s="133"/>
      <c r="I23" s="165"/>
      <c r="M23" s="64"/>
    </row>
    <row r="24" spans="1:77" ht="30.75" customHeight="1" x14ac:dyDescent="0.35">
      <c r="B24" s="102" t="s">
        <v>84</v>
      </c>
      <c r="C24" s="102" t="s">
        <v>85</v>
      </c>
      <c r="G24" s="133"/>
      <c r="H24" s="133"/>
      <c r="I24" s="165"/>
      <c r="M24" s="64"/>
    </row>
    <row r="25" spans="1:77" x14ac:dyDescent="0.35">
      <c r="B25" s="105" t="s">
        <v>124</v>
      </c>
      <c r="C25" s="303">
        <f>Assumptions!$D$21</f>
        <v>0.26</v>
      </c>
      <c r="G25" s="133"/>
      <c r="H25" s="137">
        <f>C25</f>
        <v>0.26</v>
      </c>
      <c r="I25" s="165"/>
      <c r="M25" s="64"/>
    </row>
    <row r="26" spans="1:77" x14ac:dyDescent="0.35">
      <c r="B26" s="105" t="s">
        <v>125</v>
      </c>
      <c r="C26" s="303">
        <f>Assumptions!$D$22</f>
        <v>0.21308016877637101</v>
      </c>
      <c r="G26" s="133"/>
      <c r="H26" s="137">
        <f>C26</f>
        <v>0.21308016877637101</v>
      </c>
      <c r="I26" s="165"/>
      <c r="M26" s="64"/>
    </row>
    <row r="27" spans="1:77" x14ac:dyDescent="0.35">
      <c r="B27" s="105" t="s">
        <v>126</v>
      </c>
      <c r="C27" s="108">
        <f>Assumptions!$D$23</f>
        <v>-0.54</v>
      </c>
      <c r="G27" s="133"/>
      <c r="H27" s="140">
        <f>C27</f>
        <v>-0.54</v>
      </c>
      <c r="I27" s="165"/>
      <c r="M27" s="64"/>
    </row>
    <row r="28" spans="1:77" x14ac:dyDescent="0.35">
      <c r="B28" s="105" t="s">
        <v>127</v>
      </c>
      <c r="C28" s="108">
        <f>Assumptions!$D$16</f>
        <v>1.32</v>
      </c>
      <c r="G28" s="133"/>
      <c r="H28" s="139">
        <f t="shared" ref="H28" si="2">C28</f>
        <v>1.32</v>
      </c>
      <c r="I28" s="165"/>
      <c r="M28" s="64"/>
    </row>
    <row r="29" spans="1:77" x14ac:dyDescent="0.35">
      <c r="B29" s="105" t="s">
        <v>98</v>
      </c>
      <c r="C29" s="415">
        <f>(H18-H15)*H19/H28</f>
        <v>0</v>
      </c>
      <c r="G29" s="133"/>
      <c r="H29" s="134">
        <f>C29</f>
        <v>0</v>
      </c>
      <c r="I29" s="165"/>
      <c r="M29" s="64"/>
    </row>
    <row r="30" spans="1:77" x14ac:dyDescent="0.35">
      <c r="B30" s="44"/>
      <c r="C30" s="62"/>
      <c r="G30" s="133"/>
      <c r="H30" s="133"/>
      <c r="I30" s="165"/>
      <c r="M30" s="64"/>
    </row>
    <row r="31" spans="1:77" x14ac:dyDescent="0.35">
      <c r="A31" s="64"/>
      <c r="B31" s="64"/>
      <c r="C31" s="64"/>
      <c r="D31" s="64"/>
      <c r="E31" s="64"/>
      <c r="F31" s="64"/>
      <c r="G31" s="133"/>
      <c r="H31" s="133"/>
      <c r="I31" s="165"/>
      <c r="M31" s="64"/>
    </row>
    <row r="32" spans="1:77" s="64" customFormat="1" ht="15.5" x14ac:dyDescent="0.35">
      <c r="A32" s="1"/>
      <c r="B32" s="61" t="s">
        <v>99</v>
      </c>
      <c r="C32" s="1"/>
      <c r="D32" s="1"/>
      <c r="E32" s="1"/>
      <c r="F32" s="1"/>
      <c r="G32" s="133"/>
      <c r="H32" s="133"/>
      <c r="I32" s="165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  <c r="BM32" s="13"/>
      <c r="BN32" s="13"/>
      <c r="BO32" s="13"/>
      <c r="BP32" s="13"/>
      <c r="BQ32" s="13"/>
      <c r="BR32" s="13"/>
      <c r="BS32" s="13"/>
      <c r="BT32" s="13"/>
      <c r="BU32" s="13"/>
      <c r="BV32" s="13"/>
      <c r="BW32" s="13"/>
      <c r="BX32" s="13"/>
      <c r="BY32" s="13"/>
    </row>
    <row r="33" spans="1:77" s="12" customFormat="1" x14ac:dyDescent="0.35">
      <c r="A33" s="1"/>
      <c r="B33" s="1"/>
      <c r="C33" s="1"/>
      <c r="D33" s="1"/>
      <c r="E33" s="1"/>
      <c r="F33" s="1"/>
      <c r="G33" s="133"/>
      <c r="H33" s="133"/>
      <c r="I33" s="165"/>
      <c r="J33" s="64"/>
      <c r="K33" s="64" t="s">
        <v>128</v>
      </c>
      <c r="L33" s="64"/>
      <c r="M33" s="64"/>
      <c r="N33" s="64"/>
      <c r="O33" s="64"/>
      <c r="P33" s="64"/>
      <c r="Q33" s="64"/>
      <c r="R33" s="64"/>
      <c r="S33" s="64"/>
      <c r="T33" s="64"/>
      <c r="U33" s="64"/>
      <c r="V33" s="64"/>
      <c r="W33" s="64"/>
      <c r="X33" s="64"/>
      <c r="Y33" s="64"/>
      <c r="Z33" s="64"/>
      <c r="AA33" s="64"/>
      <c r="AB33" s="64"/>
      <c r="AC33" s="64"/>
      <c r="AD33" s="64"/>
      <c r="AE33" s="64"/>
      <c r="AF33" s="64"/>
      <c r="AG33" s="64"/>
      <c r="AH33" s="64"/>
      <c r="AI33" s="64"/>
      <c r="AJ33" s="64"/>
      <c r="AK33" s="64"/>
      <c r="AL33" s="64"/>
      <c r="AM33" s="64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F33" s="13"/>
      <c r="BG33" s="13"/>
      <c r="BH33" s="13"/>
      <c r="BI33" s="13"/>
      <c r="BJ33" s="13"/>
      <c r="BK33" s="13"/>
      <c r="BL33" s="13"/>
      <c r="BM33" s="13"/>
      <c r="BN33" s="13"/>
      <c r="BO33" s="13"/>
      <c r="BP33" s="13"/>
      <c r="BQ33" s="13"/>
      <c r="BR33" s="13"/>
      <c r="BS33" s="13"/>
      <c r="BT33" s="13"/>
      <c r="BU33" s="13"/>
      <c r="BV33" s="13"/>
      <c r="BW33" s="13"/>
      <c r="BX33" s="13"/>
      <c r="BY33" s="13"/>
    </row>
    <row r="34" spans="1:77" s="12" customFormat="1" ht="26.5" x14ac:dyDescent="0.35">
      <c r="A34" s="1"/>
      <c r="B34" s="102" t="s">
        <v>84</v>
      </c>
      <c r="C34" s="102" t="s">
        <v>85</v>
      </c>
      <c r="D34" s="1"/>
      <c r="E34" s="1"/>
      <c r="F34" s="1"/>
      <c r="G34" s="133"/>
      <c r="H34" s="133"/>
      <c r="I34" s="165"/>
      <c r="J34" s="64"/>
      <c r="K34" s="56" t="s">
        <v>100</v>
      </c>
      <c r="L34" s="57" t="s">
        <v>101</v>
      </c>
      <c r="M34" s="57" t="s">
        <v>102</v>
      </c>
      <c r="N34" s="57" t="s">
        <v>103</v>
      </c>
      <c r="O34" s="58">
        <v>2018</v>
      </c>
      <c r="P34" s="59">
        <v>2030</v>
      </c>
      <c r="Q34" s="59">
        <v>2040</v>
      </c>
      <c r="R34" s="64"/>
      <c r="S34" s="64"/>
      <c r="T34" s="64"/>
      <c r="U34" s="64"/>
      <c r="V34" s="64"/>
      <c r="W34" s="64"/>
      <c r="X34" s="64"/>
      <c r="Y34" s="64"/>
      <c r="Z34" s="64"/>
      <c r="AA34" s="64"/>
      <c r="AB34" s="64"/>
      <c r="AC34" s="64"/>
      <c r="AD34" s="64"/>
      <c r="AE34" s="64"/>
      <c r="AF34" s="64"/>
      <c r="AG34" s="64"/>
      <c r="AH34" s="64"/>
      <c r="AI34" s="64"/>
      <c r="AJ34" s="64"/>
      <c r="AK34" s="64"/>
      <c r="AL34" s="64"/>
      <c r="AM34" s="64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  <c r="BA34" s="13"/>
      <c r="BB34" s="13"/>
      <c r="BC34" s="13"/>
      <c r="BD34" s="13"/>
      <c r="BE34" s="13"/>
      <c r="BF34" s="13"/>
      <c r="BG34" s="13"/>
      <c r="BH34" s="13"/>
      <c r="BI34" s="13"/>
      <c r="BJ34" s="13"/>
      <c r="BK34" s="13"/>
      <c r="BL34" s="13"/>
      <c r="BM34" s="13"/>
      <c r="BN34" s="13"/>
      <c r="BO34" s="13"/>
      <c r="BP34" s="13"/>
      <c r="BQ34" s="13"/>
      <c r="BR34" s="13"/>
      <c r="BS34" s="13"/>
      <c r="BT34" s="13"/>
      <c r="BU34" s="13"/>
      <c r="BV34" s="13"/>
      <c r="BW34" s="13"/>
      <c r="BX34" s="13"/>
      <c r="BY34" s="13"/>
    </row>
    <row r="35" spans="1:77" s="12" customFormat="1" x14ac:dyDescent="0.35">
      <c r="A35" s="1"/>
      <c r="B35" s="105" t="s">
        <v>104</v>
      </c>
      <c r="C35" s="108">
        <f>IF($H$13&lt;2030,FORECAST($H$13,O35:P35,$O$34:$P$34),FORECAST($H$13,P35:Q35,$P$34:$Q$34))</f>
        <v>14163.40716666667</v>
      </c>
      <c r="D35" s="1"/>
      <c r="E35" s="1"/>
      <c r="F35" s="1"/>
      <c r="G35" s="133"/>
      <c r="H35" s="139">
        <f>C35</f>
        <v>14163.40716666667</v>
      </c>
      <c r="I35" s="165"/>
      <c r="J35" s="64"/>
      <c r="K35" s="53" t="s">
        <v>105</v>
      </c>
      <c r="L35" s="54" t="s">
        <v>106</v>
      </c>
      <c r="M35" s="98">
        <v>35</v>
      </c>
      <c r="N35" s="54" t="s">
        <v>107</v>
      </c>
      <c r="O35" s="55">
        <f>IF(L35="CO2eq",VLOOKUP(M35,'Emission Factors'!$G$3:$J$18,MATCH(K35,'Emission Factors'!$G$2:$J$2,0),0),IF(L35="CO",VLOOKUP($M35,'Emission Factors'!$G$19:$J$34,MATCH(K35,'Emission Factors'!$G$2:$J$2,0),0),IF(L35="PM2.5",VLOOKUP(M35,'Emission Factors'!$G$35:$J$50,MATCH(K35,'Emission Factors'!$G$2:$J$2,0),0),IF(L35="NOx",VLOOKUP(M35,'Emission Factors'!$G$51:$J$66,MATCH(K35,'Emission Factors'!$G$2:$J$2,0),0),VLOOKUP(M35,'Emission Factors'!$G$67:$J$82,MATCH(K35,'Emission Factors'!$G$2:$J$2,0),0)))))</f>
        <v>345.99299999999999</v>
      </c>
      <c r="P35" s="155">
        <f>IF($L35="CO2eq",VLOOKUP($M35,'Emission Factors'!$G$88:$J$103,MATCH($K35,'Emission Factors'!$G$87:$J$87,0),0),IF(L35="CO",VLOOKUP($M35,'Emission Factors'!$G$104:$J$119,MATCH(K35,'Emission Factors'!$G$2:$J$2,0),0),IF(L35="PM2.5",VLOOKUP(M35,'Emission Factors'!$G$120:$J$135,MATCH(K35,'Emission Factors'!$G$2:$J$2,0),0),IF(L35="NOx",VLOOKUP(M35,'Emission Factors'!$G$136:$J$151,MATCH(K35,'Emission Factors'!$G$2:$J$2,0),0),VLOOKUP(M35,'Emission Factors'!$G$152:$J$167,MATCH(K35,'Emission Factors'!$G$2:$J$2,0),0)))))</f>
        <v>263.82799999999997</v>
      </c>
      <c r="Q35" s="479">
        <f>IF($L35="CO2eq",VLOOKUP($M35, 'Emission Factors'!G178:J193,MATCH($K35,'Emission Factors'!$G$2:$J$2,0),0),IF(L35="CO",VLOOKUP($M35, 'Emission Factors'!$G$189:$J$204,MATCH(K35,'Emission Factors'!$G$2:$J$2,0),0),IF(L35="PM2.5",VLOOKUP(M35, 'Emission Factors'!$G$205:$J$220,MATCH(K35,'Emission Factors'!$G$2:$J$2,0),0),IF(L35="NOx",VLOOKUP(M35, 'Emission Factors'!$G$221:$J$236,MATCH(K35,'Emission Factors'!$G$2:$J$2,0),0),VLOOKUP(M35, 'Emission Factors'!$G$237:$J$252,MATCH(K35,'Emission Factors'!$G$2:$J$2,0),0)))))</f>
        <v>238.08</v>
      </c>
      <c r="R35" s="64"/>
      <c r="S35" s="64"/>
      <c r="T35" s="64"/>
      <c r="U35" s="64"/>
      <c r="V35" s="64"/>
      <c r="W35" s="64"/>
      <c r="X35" s="64"/>
      <c r="Y35" s="64"/>
      <c r="Z35" s="64"/>
      <c r="AA35" s="64"/>
      <c r="AB35" s="64"/>
      <c r="AC35" s="64"/>
      <c r="AD35" s="64"/>
      <c r="AE35" s="64"/>
      <c r="AF35" s="64"/>
      <c r="AG35" s="64"/>
      <c r="AH35" s="64"/>
      <c r="AI35" s="64"/>
      <c r="AJ35" s="64"/>
      <c r="AK35" s="64"/>
      <c r="AL35" s="64"/>
      <c r="AM35" s="64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3"/>
      <c r="AZ35" s="13"/>
      <c r="BA35" s="13"/>
      <c r="BB35" s="13"/>
      <c r="BC35" s="13"/>
      <c r="BD35" s="13"/>
      <c r="BE35" s="13"/>
      <c r="BF35" s="13"/>
      <c r="BG35" s="13"/>
      <c r="BH35" s="13"/>
      <c r="BI35" s="13"/>
      <c r="BJ35" s="13"/>
      <c r="BK35" s="13"/>
      <c r="BL35" s="13"/>
      <c r="BM35" s="13"/>
      <c r="BN35" s="13"/>
      <c r="BO35" s="13"/>
      <c r="BP35" s="13"/>
      <c r="BQ35" s="13"/>
      <c r="BR35" s="13"/>
      <c r="BS35" s="13"/>
      <c r="BT35" s="13"/>
      <c r="BU35" s="13"/>
      <c r="BV35" s="13"/>
      <c r="BW35" s="13"/>
      <c r="BX35" s="13"/>
      <c r="BY35" s="13"/>
    </row>
    <row r="36" spans="1:77" s="12" customFormat="1" x14ac:dyDescent="0.35">
      <c r="A36" s="1"/>
      <c r="B36" s="105" t="s">
        <v>108</v>
      </c>
      <c r="C36" s="108">
        <f t="shared" ref="C36:C39" si="3">IF($H$13&lt;2030,FORECAST($H$13,O36:P36,$O$34:$P$34),FORECAST($H$13,P36:Q36,$P$34:$Q$34))</f>
        <v>248.39519333333331</v>
      </c>
      <c r="D36" s="1"/>
      <c r="E36" s="1"/>
      <c r="F36" s="1"/>
      <c r="G36" s="133"/>
      <c r="H36" s="139">
        <f t="shared" ref="H36:H39" si="4">C36</f>
        <v>248.39519333333331</v>
      </c>
      <c r="I36" s="165"/>
      <c r="J36" s="64"/>
      <c r="K36" s="48" t="s">
        <v>105</v>
      </c>
      <c r="L36" s="45" t="s">
        <v>109</v>
      </c>
      <c r="M36" s="99">
        <v>35</v>
      </c>
      <c r="N36" s="45" t="s">
        <v>107</v>
      </c>
      <c r="O36" s="46">
        <f>IF(L36="CO2eq",VLOOKUP(M36,'Emission Factors'!$G$3:$J$18,MATCH(K36,'Emission Factors'!$G$2:$J$2,0),0),IF(L36="CO",VLOOKUP($M36,'Emission Factors'!$G$19:$J$34,MATCH(K36,'Emission Factors'!$G$2:$J$2,0),0),IF(L36="PM2.5",VLOOKUP(M36,'Emission Factors'!$G$35:$J$50,MATCH(K36,'Emission Factors'!$G$2:$J$2,0),0),IF(L36="NOx",VLOOKUP(M36,'Emission Factors'!$G$51:$J$66,MATCH(K36,'Emission Factors'!$G$2:$J$2,0),0),VLOOKUP(M36,'Emission Factors'!$G$67:$J$82,MATCH(K36,'Emission Factors'!$G$2:$J$2,0),0)))))</f>
        <v>2.8012299999999999</v>
      </c>
      <c r="P36" s="156">
        <f>IF($L36="CO2eq",VLOOKUP($M36,'Emission Factors'!$G$88:$J$103,MATCH($K36,'Emission Factors'!$G$87:$J$87,0),0),IF(L36="CO",VLOOKUP($M36,'Emission Factors'!$G$104:$J$119,MATCH(K36,'Emission Factors'!$G$2:$J$2,0),0),IF(L36="PM2.5",VLOOKUP(M36,'Emission Factors'!$G$120:$J$135,MATCH(K36,'Emission Factors'!$G$2:$J$2,0),0),IF(L36="NOx",VLOOKUP(M36,'Emission Factors'!$G$136:$J$151,MATCH(K36,'Emission Factors'!$G$2:$J$2,0),0),VLOOKUP(M36,'Emission Factors'!$G$152:$J$167,MATCH(K36,'Emission Factors'!$G$2:$J$2,0),0)))))</f>
        <v>1.3408100000000001</v>
      </c>
      <c r="Q36" s="480">
        <f>IF($L36="CO2eq",VLOOKUP($M36, 'Emission Factors'!G179:J194,MATCH($K36,'Emission Factors'!$G$2:$J$2,0),0),IF(L36="CO",VLOOKUP($M36, 'Emission Factors'!$G$189:$J$204,MATCH(K36,'Emission Factors'!$G$2:$J$2,0),0),IF(L36="PM2.5",VLOOKUP(M36, 'Emission Factors'!$G$205:$J$220,MATCH(K36,'Emission Factors'!$G$2:$J$2,0),0),IF(L36="NOx",VLOOKUP(M36, 'Emission Factors'!$G$221:$J$236,MATCH(K36,'Emission Factors'!$G$2:$J$2,0),0),VLOOKUP(M36, 'Emission Factors'!$G$237:$J$252,MATCH(K36,'Emission Factors'!$G$2:$J$2,0),0)))))</f>
        <v>0.96630300000000002</v>
      </c>
      <c r="R36" s="64"/>
      <c r="S36" s="64"/>
      <c r="T36" s="64"/>
      <c r="U36" s="64"/>
      <c r="V36" s="64"/>
      <c r="W36" s="64"/>
      <c r="X36" s="64"/>
      <c r="Y36" s="64"/>
      <c r="Z36" s="64"/>
      <c r="AA36" s="64"/>
      <c r="AB36" s="64"/>
      <c r="AC36" s="64"/>
      <c r="AD36" s="64"/>
      <c r="AE36" s="64"/>
      <c r="AF36" s="64"/>
      <c r="AG36" s="64"/>
      <c r="AH36" s="64"/>
      <c r="AI36" s="64"/>
      <c r="AJ36" s="64"/>
      <c r="AK36" s="64"/>
      <c r="AL36" s="64"/>
      <c r="AM36" s="64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  <c r="BM36" s="13"/>
      <c r="BN36" s="13"/>
      <c r="BO36" s="13"/>
      <c r="BP36" s="13"/>
      <c r="BQ36" s="13"/>
      <c r="BR36" s="13"/>
      <c r="BS36" s="13"/>
      <c r="BT36" s="13"/>
      <c r="BU36" s="13"/>
      <c r="BV36" s="13"/>
      <c r="BW36" s="13"/>
      <c r="BX36" s="13"/>
      <c r="BY36" s="13"/>
    </row>
    <row r="37" spans="1:77" s="12" customFormat="1" x14ac:dyDescent="0.35">
      <c r="A37" s="1"/>
      <c r="B37" s="105" t="s">
        <v>110</v>
      </c>
      <c r="C37" s="108">
        <f t="shared" si="3"/>
        <v>0.41422921833333326</v>
      </c>
      <c r="D37" s="1"/>
      <c r="E37" s="1"/>
      <c r="F37" s="1"/>
      <c r="G37" s="133"/>
      <c r="H37" s="139">
        <f t="shared" si="4"/>
        <v>0.41422921833333326</v>
      </c>
      <c r="I37" s="165"/>
      <c r="J37" s="64"/>
      <c r="K37" s="48" t="s">
        <v>105</v>
      </c>
      <c r="L37" s="45" t="s">
        <v>111</v>
      </c>
      <c r="M37" s="99">
        <v>35</v>
      </c>
      <c r="N37" s="45" t="s">
        <v>107</v>
      </c>
      <c r="O37" s="46">
        <f>IF(L37="CO2eq",VLOOKUP(M37,'Emission Factors'!$G$3:$J$18,MATCH(K37,'Emission Factors'!$G$2:$J$2,0),0),IF(L37="CO",VLOOKUP($M37,'Emission Factors'!$G$19:$J$34,MATCH(K37,'Emission Factors'!$G$2:$J$2,0),0),IF(L37="PM2.5",VLOOKUP(M37,'Emission Factors'!$G$35:$J$50,MATCH(K37,'Emission Factors'!$G$2:$J$2,0),0),IF(L37="NOx",VLOOKUP(M37,'Emission Factors'!$G$51:$J$66,MATCH(K37,'Emission Factors'!$G$2:$J$2,0),0),VLOOKUP(M37,'Emission Factors'!$G$67:$J$82,MATCH(K37,'Emission Factors'!$G$2:$J$2,0),0)))))</f>
        <v>3.88069E-3</v>
      </c>
      <c r="P37" s="156">
        <f>IF($L37="CO2eq",VLOOKUP($M37,'Emission Factors'!$G$88:$J$103,MATCH($K37,'Emission Factors'!$G$87:$J$87,0),0),IF(L37="CO",VLOOKUP($M37,'Emission Factors'!$G$104:$J$119,MATCH(K37,'Emission Factors'!$G$2:$J$2,0),0),IF(L37="PM2.5",VLOOKUP(M37,'Emission Factors'!$G$120:$J$135,MATCH(K37,'Emission Factors'!$G$2:$J$2,0),0),IF(L37="NOx",VLOOKUP(M37,'Emission Factors'!$G$136:$J$151,MATCH(K37,'Emission Factors'!$G$2:$J$2,0),0),VLOOKUP(M37,'Emission Factors'!$G$152:$J$167,MATCH(K37,'Emission Factors'!$G$2:$J$2,0),0)))))</f>
        <v>1.44056E-3</v>
      </c>
      <c r="Q37" s="480">
        <f>IF($L37="CO2eq",VLOOKUP($M37, 'Emission Factors'!G180:J195,MATCH($K37,'Emission Factors'!$G$2:$J$2,0),0),IF(L37="CO",VLOOKUP($M37, 'Emission Factors'!$G$189:$J$204,MATCH(K37,'Emission Factors'!$G$2:$J$2,0),0),IF(L37="PM2.5",VLOOKUP(M37, 'Emission Factors'!$G$205:$J$220,MATCH(K37,'Emission Factors'!$G$2:$J$2,0),0),IF(L37="NOx",VLOOKUP(M37, 'Emission Factors'!$G$221:$J$236,MATCH(K37,'Emission Factors'!$G$2:$J$2,0),0),VLOOKUP(M37, 'Emission Factors'!$G$237:$J$252,MATCH(K37,'Emission Factors'!$G$2:$J$2,0),0)))))</f>
        <v>1.0138199999999999E-3</v>
      </c>
      <c r="R37" s="64"/>
      <c r="S37" s="64"/>
      <c r="T37" s="64"/>
      <c r="U37" s="64"/>
      <c r="V37" s="64"/>
      <c r="W37" s="64"/>
      <c r="X37" s="64"/>
      <c r="Y37" s="64"/>
      <c r="Z37" s="64"/>
      <c r="AA37" s="64"/>
      <c r="AB37" s="64"/>
      <c r="AC37" s="64"/>
      <c r="AD37" s="64"/>
      <c r="AE37" s="64"/>
      <c r="AF37" s="64"/>
      <c r="AG37" s="64"/>
      <c r="AH37" s="64"/>
      <c r="AI37" s="64"/>
      <c r="AJ37" s="64"/>
      <c r="AK37" s="64"/>
      <c r="AL37" s="64"/>
      <c r="AM37" s="64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  <c r="BM37" s="13"/>
      <c r="BN37" s="13"/>
      <c r="BO37" s="13"/>
      <c r="BP37" s="13"/>
      <c r="BQ37" s="13"/>
      <c r="BR37" s="13"/>
      <c r="BS37" s="13"/>
      <c r="BT37" s="13"/>
      <c r="BU37" s="13"/>
      <c r="BV37" s="13"/>
      <c r="BW37" s="13"/>
      <c r="BX37" s="13"/>
      <c r="BY37" s="13"/>
    </row>
    <row r="38" spans="1:77" s="12" customFormat="1" x14ac:dyDescent="0.35">
      <c r="A38" s="1"/>
      <c r="B38" s="105" t="s">
        <v>112</v>
      </c>
      <c r="C38" s="108">
        <f t="shared" si="3"/>
        <v>41.369416749999992</v>
      </c>
      <c r="D38" s="1"/>
      <c r="E38" s="1"/>
      <c r="F38" s="1"/>
      <c r="G38" s="133"/>
      <c r="H38" s="139">
        <f t="shared" si="4"/>
        <v>41.369416749999992</v>
      </c>
      <c r="I38" s="165"/>
      <c r="J38" s="64"/>
      <c r="K38" s="48" t="s">
        <v>105</v>
      </c>
      <c r="L38" s="45" t="s">
        <v>113</v>
      </c>
      <c r="M38" s="99">
        <v>35</v>
      </c>
      <c r="N38" s="45" t="s">
        <v>107</v>
      </c>
      <c r="O38" s="46">
        <f>IF(L38="CO2eq",VLOOKUP(M38,'Emission Factors'!$G$3:$J$18,MATCH(K38,'Emission Factors'!$G$2:$J$2,0),0),IF(L38="CO",VLOOKUP($M38,'Emission Factors'!$G$19:$J$34,MATCH(K38,'Emission Factors'!$G$2:$J$2,0),0),IF(L38="PM2.5",VLOOKUP(M38,'Emission Factors'!$G$35:$J$50,MATCH(K38,'Emission Factors'!$G$2:$J$2,0),0),IF(L38="NOx",VLOOKUP(M38,'Emission Factors'!$G$51:$J$66,MATCH(K38,'Emission Factors'!$G$2:$J$2,0),0),VLOOKUP(M38,'Emission Factors'!$G$67:$J$82,MATCH(K38,'Emission Factors'!$G$2:$J$2,0),0)))))</f>
        <v>0.31547700000000001</v>
      </c>
      <c r="P38" s="156">
        <f>IF($L38="CO2eq",VLOOKUP($M38,'Emission Factors'!$G$88:$J$103,MATCH($K38,'Emission Factors'!$G$87:$J$87,0),0),IF(L38="CO",VLOOKUP($M38,'Emission Factors'!$G$104:$J$119,MATCH(K38,'Emission Factors'!$G$2:$J$2,0),0),IF(L38="PM2.5",VLOOKUP(M38,'Emission Factors'!$G$120:$J$135,MATCH(K38,'Emission Factors'!$G$2:$J$2,0),0),IF(L38="NOx",VLOOKUP(M38,'Emission Factors'!$G$136:$J$151,MATCH(K38,'Emission Factors'!$G$2:$J$2,0),0),VLOOKUP(M38,'Emission Factors'!$G$152:$J$167,MATCH(K38,'Emission Factors'!$G$2:$J$2,0),0)))))</f>
        <v>7.1350499999999997E-2</v>
      </c>
      <c r="Q38" s="480">
        <f>IF($L38="CO2eq",VLOOKUP($M38, 'Emission Factors'!G181:J196,MATCH($K38,'Emission Factors'!$G$2:$J$2,0),0),IF(L38="CO",VLOOKUP($M38, 'Emission Factors'!$G$189:$J$204,MATCH(K38,'Emission Factors'!$G$2:$J$2,0),0),IF(L38="PM2.5",VLOOKUP(M38, 'Emission Factors'!$G$205:$J$220,MATCH(K38,'Emission Factors'!$G$2:$J$2,0),0),IF(L38="NOx",VLOOKUP(M38, 'Emission Factors'!$G$221:$J$236,MATCH(K38,'Emission Factors'!$G$2:$J$2,0),0),VLOOKUP(M38, 'Emission Factors'!$G$237:$J$252,MATCH(K38,'Emission Factors'!$G$2:$J$2,0),0)))))</f>
        <v>1.9481600000000002E-2</v>
      </c>
      <c r="R38" s="64"/>
      <c r="S38" s="64"/>
      <c r="T38" s="64"/>
      <c r="U38" s="64"/>
      <c r="V38" s="64"/>
      <c r="W38" s="64"/>
      <c r="X38" s="64"/>
      <c r="Y38" s="64"/>
      <c r="Z38" s="64"/>
      <c r="AA38" s="64"/>
      <c r="AB38" s="64"/>
      <c r="AC38" s="64"/>
      <c r="AD38" s="64"/>
      <c r="AE38" s="64"/>
      <c r="AF38" s="64"/>
      <c r="AG38" s="64"/>
      <c r="AH38" s="64"/>
      <c r="AI38" s="64"/>
      <c r="AJ38" s="64"/>
      <c r="AK38" s="64"/>
      <c r="AL38" s="64"/>
      <c r="AM38" s="64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3"/>
      <c r="BD38" s="13"/>
      <c r="BE38" s="13"/>
      <c r="BF38" s="13"/>
      <c r="BG38" s="13"/>
      <c r="BH38" s="13"/>
      <c r="BI38" s="13"/>
      <c r="BJ38" s="13"/>
      <c r="BK38" s="13"/>
      <c r="BL38" s="13"/>
      <c r="BM38" s="13"/>
      <c r="BN38" s="13"/>
      <c r="BO38" s="13"/>
      <c r="BP38" s="13"/>
      <c r="BQ38" s="13"/>
      <c r="BR38" s="13"/>
      <c r="BS38" s="13"/>
      <c r="BT38" s="13"/>
      <c r="BU38" s="13"/>
      <c r="BV38" s="13"/>
      <c r="BW38" s="13"/>
      <c r="BX38" s="13"/>
      <c r="BY38" s="13"/>
    </row>
    <row r="39" spans="1:77" s="12" customFormat="1" x14ac:dyDescent="0.35">
      <c r="A39" s="1"/>
      <c r="B39" s="105" t="s">
        <v>114</v>
      </c>
      <c r="C39" s="108">
        <f t="shared" si="3"/>
        <v>8.1845177833333356</v>
      </c>
      <c r="D39" s="1"/>
      <c r="E39" s="1"/>
      <c r="F39" s="1"/>
      <c r="G39" s="133"/>
      <c r="H39" s="139">
        <f t="shared" si="4"/>
        <v>8.1845177833333356</v>
      </c>
      <c r="I39" s="165"/>
      <c r="J39" s="64"/>
      <c r="K39" s="49" t="s">
        <v>105</v>
      </c>
      <c r="L39" s="50" t="s">
        <v>115</v>
      </c>
      <c r="M39" s="51">
        <v>35</v>
      </c>
      <c r="N39" s="50" t="s">
        <v>107</v>
      </c>
      <c r="O39" s="52">
        <f>IF(L39="CO2eq",VLOOKUP(M39,'Emission Factors'!$G$3:$J$18,MATCH(K39,'Emission Factors'!$G$2:$J$2,0),0),IF(L39="CO",VLOOKUP($M39,'Emission Factors'!$G$19:$J$34,MATCH(K39,'Emission Factors'!$G$2:$J$2,0),0),IF(L39="PM2.5",VLOOKUP(M39,'Emission Factors'!$G$35:$J$50,MATCH(K39,'Emission Factors'!$G$2:$J$2,0),0),IF(L39="NOx",VLOOKUP(M39,'Emission Factors'!$G$51:$J$66,MATCH(K39,'Emission Factors'!$G$2:$J$2,0),0),VLOOKUP(M39,'Emission Factors'!$G$67:$J$82,MATCH(K39,'Emission Factors'!$G$2:$J$2,0),0)))))</f>
        <v>6.5010700000000005E-2</v>
      </c>
      <c r="P39" s="157">
        <f>IF($L39="CO2eq",VLOOKUP($M39,'Emission Factors'!$G$88:$J$103,MATCH($K39,'Emission Factors'!$G$87:$J$87,0),0),IF(L39="CO",VLOOKUP($M39,'Emission Factors'!$G$104:$J$119,MATCH(K39,'Emission Factors'!$G$2:$J$2,0),0),IF(L39="PM2.5",VLOOKUP(M39,'Emission Factors'!$G$120:$J$135,MATCH(K39,'Emission Factors'!$G$2:$J$2,0),0),IF(L39="NOx",VLOOKUP(M39,'Emission Factors'!$G$136:$J$151,MATCH(K39,'Emission Factors'!$G$2:$J$2,0),0),VLOOKUP(M39,'Emission Factors'!$G$152:$J$167,MATCH(K39,'Emission Factors'!$G$2:$J$2,0),0)))))</f>
        <v>1.6728199999999999E-2</v>
      </c>
      <c r="Q39" s="481">
        <f>IF($L39="CO2eq",VLOOKUP($M39, 'Emission Factors'!G182:J197,MATCH($K39,'Emission Factors'!$G$2:$J$2,0),0),IF(L39="CO",VLOOKUP($M39, 'Emission Factors'!$G$189:$J$204,MATCH(K39,'Emission Factors'!$G$2:$J$2,0),0),IF(L39="PM2.5",VLOOKUP(M39, 'Emission Factors'!$G$205:$J$220,MATCH(K39,'Emission Factors'!$G$2:$J$2,0),0),IF(L39="NOx",VLOOKUP(M39, 'Emission Factors'!$G$221:$J$236,MATCH(K39,'Emission Factors'!$G$2:$J$2,0),0),VLOOKUP(M39, 'Emission Factors'!$G$237:$J$252,MATCH(K39,'Emission Factors'!$G$2:$J$2,0),0)))))</f>
        <v>1.1268800000000001E-2</v>
      </c>
      <c r="R39" s="64"/>
      <c r="S39" s="64"/>
      <c r="T39" s="64"/>
      <c r="U39" s="64"/>
      <c r="V39" s="64"/>
      <c r="W39" s="64"/>
      <c r="X39" s="64"/>
      <c r="Y39" s="64"/>
      <c r="Z39" s="64"/>
      <c r="AA39" s="64"/>
      <c r="AB39" s="64"/>
      <c r="AC39" s="64"/>
      <c r="AD39" s="64"/>
      <c r="AE39" s="64"/>
      <c r="AF39" s="64"/>
      <c r="AG39" s="64"/>
      <c r="AH39" s="64"/>
      <c r="AI39" s="64"/>
      <c r="AJ39" s="64"/>
      <c r="AK39" s="64"/>
      <c r="AL39" s="64"/>
      <c r="AM39" s="64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3"/>
      <c r="AZ39" s="13"/>
      <c r="BA39" s="13"/>
      <c r="BB39" s="13"/>
      <c r="BC39" s="13"/>
      <c r="BD39" s="13"/>
      <c r="BE39" s="13"/>
      <c r="BF39" s="13"/>
      <c r="BG39" s="13"/>
      <c r="BH39" s="13"/>
      <c r="BI39" s="13"/>
      <c r="BJ39" s="13"/>
      <c r="BK39" s="13"/>
      <c r="BL39" s="13"/>
      <c r="BM39" s="13"/>
      <c r="BN39" s="13"/>
      <c r="BO39" s="13"/>
      <c r="BP39" s="13"/>
      <c r="BQ39" s="13"/>
      <c r="BR39" s="13"/>
      <c r="BS39" s="13"/>
      <c r="BT39" s="13"/>
      <c r="BU39" s="13"/>
      <c r="BV39" s="13"/>
      <c r="BW39" s="13"/>
      <c r="BX39" s="13"/>
      <c r="BY39" s="13"/>
    </row>
    <row r="40" spans="1:77" s="12" customFormat="1" x14ac:dyDescent="0.35">
      <c r="A40" s="1"/>
      <c r="B40" s="1"/>
      <c r="C40" s="1"/>
      <c r="D40" s="1"/>
      <c r="E40" s="1"/>
      <c r="F40" s="1"/>
      <c r="G40" s="133"/>
      <c r="H40" s="133"/>
      <c r="I40" s="165"/>
      <c r="J40" s="64"/>
      <c r="K40" s="64"/>
      <c r="L40" s="64"/>
      <c r="M40" s="64"/>
      <c r="N40" s="65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13"/>
      <c r="AO40" s="13"/>
      <c r="AP40" s="13"/>
      <c r="AQ40" s="13"/>
      <c r="AR40" s="13"/>
      <c r="AS40" s="13"/>
      <c r="AT40" s="13"/>
      <c r="AU40" s="13"/>
      <c r="AV40" s="13"/>
      <c r="AW40" s="13"/>
      <c r="AX40" s="13"/>
      <c r="AY40" s="13"/>
      <c r="AZ40" s="13"/>
      <c r="BA40" s="13"/>
      <c r="BB40" s="13"/>
      <c r="BC40" s="13"/>
      <c r="BD40" s="13"/>
      <c r="BE40" s="13"/>
      <c r="BF40" s="13"/>
      <c r="BG40" s="13"/>
      <c r="BH40" s="13"/>
      <c r="BI40" s="13"/>
      <c r="BJ40" s="13"/>
      <c r="BK40" s="13"/>
      <c r="BL40" s="13"/>
      <c r="BM40" s="13"/>
      <c r="BN40" s="13"/>
      <c r="BO40" s="13"/>
      <c r="BP40" s="13"/>
      <c r="BQ40" s="13"/>
      <c r="BR40" s="13"/>
      <c r="BS40" s="13"/>
      <c r="BT40" s="13"/>
      <c r="BU40" s="13"/>
      <c r="BV40" s="13"/>
      <c r="BW40" s="13"/>
      <c r="BX40" s="13"/>
      <c r="BY40" s="13"/>
    </row>
    <row r="41" spans="1:77" s="12" customFormat="1" x14ac:dyDescent="0.35">
      <c r="B41" s="64"/>
      <c r="C41" s="64"/>
      <c r="D41" s="64"/>
      <c r="E41" s="64"/>
      <c r="F41" s="64"/>
      <c r="G41" s="133"/>
      <c r="H41" s="133"/>
      <c r="I41" s="165"/>
      <c r="J41" s="64"/>
      <c r="K41" s="64"/>
      <c r="L41" s="64"/>
      <c r="M41" s="64"/>
      <c r="N41" s="65"/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4"/>
      <c r="AD41" s="64"/>
      <c r="AE41" s="64"/>
      <c r="AF41" s="64"/>
      <c r="AG41" s="64"/>
      <c r="AH41" s="64"/>
      <c r="AI41" s="64"/>
      <c r="AJ41" s="64"/>
      <c r="AK41" s="64"/>
      <c r="AL41" s="64"/>
      <c r="AM41" s="64"/>
      <c r="AN41" s="13"/>
      <c r="AO41" s="13"/>
      <c r="AP41" s="13"/>
      <c r="AQ41" s="13"/>
      <c r="AR41" s="13"/>
      <c r="AS41" s="13"/>
      <c r="AT41" s="13"/>
      <c r="AU41" s="13"/>
      <c r="AV41" s="13"/>
      <c r="AW41" s="13"/>
      <c r="AX41" s="13"/>
      <c r="AY41" s="13"/>
      <c r="AZ41" s="13"/>
      <c r="BA41" s="13"/>
      <c r="BB41" s="13"/>
      <c r="BC41" s="13"/>
      <c r="BD41" s="13"/>
      <c r="BE41" s="13"/>
      <c r="BF41" s="13"/>
      <c r="BG41" s="13"/>
      <c r="BH41" s="13"/>
      <c r="BI41" s="13"/>
      <c r="BJ41" s="13"/>
      <c r="BK41" s="13"/>
      <c r="BL41" s="13"/>
      <c r="BM41" s="13"/>
      <c r="BN41" s="13"/>
      <c r="BO41" s="13"/>
      <c r="BP41" s="13"/>
      <c r="BQ41" s="13"/>
      <c r="BR41" s="13"/>
      <c r="BS41" s="13"/>
      <c r="BT41" s="13"/>
      <c r="BU41" s="13"/>
      <c r="BV41" s="13"/>
      <c r="BW41" s="13"/>
      <c r="BX41" s="13"/>
      <c r="BY41" s="13"/>
    </row>
    <row r="42" spans="1:77" s="64" customFormat="1" ht="15.5" x14ac:dyDescent="0.35">
      <c r="A42" s="1"/>
      <c r="B42" s="61" t="s">
        <v>116</v>
      </c>
      <c r="C42" s="1"/>
      <c r="D42" s="1"/>
      <c r="E42" s="60"/>
      <c r="F42" s="60"/>
      <c r="G42" s="133"/>
      <c r="H42" s="133"/>
      <c r="I42" s="165"/>
      <c r="N42" s="65"/>
      <c r="AN42" s="13"/>
      <c r="AO42" s="13"/>
      <c r="AP42" s="13"/>
      <c r="AQ42" s="13"/>
      <c r="AR42" s="13"/>
      <c r="AS42" s="13"/>
      <c r="AT42" s="13"/>
      <c r="AU42" s="13"/>
      <c r="AV42" s="13"/>
      <c r="AW42" s="13"/>
      <c r="AX42" s="13"/>
      <c r="AY42" s="13"/>
      <c r="AZ42" s="13"/>
      <c r="BA42" s="13"/>
      <c r="BB42" s="13"/>
      <c r="BC42" s="13"/>
      <c r="BD42" s="13"/>
      <c r="BE42" s="13"/>
      <c r="BF42" s="13"/>
      <c r="BG42" s="13"/>
      <c r="BH42" s="13"/>
      <c r="BI42" s="13"/>
      <c r="BJ42" s="13"/>
      <c r="BK42" s="13"/>
      <c r="BL42" s="13"/>
      <c r="BM42" s="13"/>
      <c r="BN42" s="13"/>
      <c r="BO42" s="13"/>
      <c r="BP42" s="13"/>
      <c r="BQ42" s="13"/>
      <c r="BR42" s="13"/>
      <c r="BS42" s="13"/>
      <c r="BT42" s="13"/>
      <c r="BU42" s="13"/>
      <c r="BV42" s="13"/>
      <c r="BW42" s="13"/>
      <c r="BX42" s="13"/>
      <c r="BY42" s="13"/>
    </row>
    <row r="43" spans="1:77" s="60" customFormat="1" x14ac:dyDescent="0.35">
      <c r="B43" s="102" t="s">
        <v>84</v>
      </c>
      <c r="C43" s="102" t="s">
        <v>85</v>
      </c>
      <c r="G43" s="133"/>
      <c r="H43" s="133"/>
      <c r="I43" s="165"/>
      <c r="J43" s="64"/>
      <c r="K43" s="64"/>
      <c r="L43" s="65"/>
      <c r="M43" s="65"/>
      <c r="N43" s="65"/>
      <c r="O43" s="65"/>
      <c r="P43" s="65"/>
      <c r="Q43" s="65"/>
      <c r="R43" s="65"/>
      <c r="S43" s="65"/>
      <c r="T43" s="65"/>
      <c r="U43" s="65"/>
      <c r="V43" s="65"/>
      <c r="W43" s="65"/>
      <c r="X43" s="65"/>
      <c r="Y43" s="65"/>
      <c r="Z43" s="65"/>
      <c r="AA43" s="65"/>
      <c r="AB43" s="65"/>
      <c r="AC43" s="65"/>
      <c r="AD43" s="65"/>
      <c r="AE43" s="65"/>
      <c r="AF43" s="65"/>
      <c r="AG43" s="65"/>
      <c r="AH43" s="65"/>
      <c r="AI43" s="65"/>
      <c r="AJ43" s="65"/>
      <c r="AK43" s="65"/>
      <c r="AL43" s="65"/>
      <c r="AM43" s="65"/>
      <c r="AN43" s="504"/>
      <c r="AO43" s="504"/>
      <c r="AP43" s="504"/>
      <c r="AQ43" s="504"/>
      <c r="AR43" s="504"/>
      <c r="AS43" s="504"/>
      <c r="AT43" s="504"/>
      <c r="AU43" s="504"/>
      <c r="AV43" s="504"/>
      <c r="AW43" s="504"/>
      <c r="AX43" s="504"/>
      <c r="AY43" s="504"/>
      <c r="AZ43" s="504"/>
      <c r="BA43" s="504"/>
      <c r="BB43" s="504"/>
      <c r="BC43" s="504"/>
      <c r="BD43" s="504"/>
      <c r="BE43" s="504"/>
      <c r="BF43" s="504"/>
      <c r="BG43" s="504"/>
      <c r="BH43" s="504"/>
      <c r="BI43" s="504"/>
      <c r="BJ43" s="504"/>
      <c r="BK43" s="504"/>
      <c r="BL43" s="504"/>
      <c r="BM43" s="504"/>
      <c r="BN43" s="504"/>
      <c r="BO43" s="504"/>
      <c r="BP43" s="504"/>
      <c r="BQ43" s="504"/>
      <c r="BR43" s="504"/>
      <c r="BS43" s="504"/>
      <c r="BT43" s="504"/>
      <c r="BU43" s="504"/>
      <c r="BV43" s="504"/>
      <c r="BW43" s="504"/>
      <c r="BX43" s="504"/>
      <c r="BY43" s="504"/>
    </row>
    <row r="44" spans="1:77" s="60" customFormat="1" x14ac:dyDescent="0.35">
      <c r="B44" s="112" t="s">
        <v>62</v>
      </c>
      <c r="C44" s="131" t="str">
        <f>IF(SUM(I17:I20)&gt;0,"(Error]",H29*H20)</f>
        <v>(Error]</v>
      </c>
      <c r="G44" s="133"/>
      <c r="H44" s="140" t="str">
        <f>C44</f>
        <v>(Error]</v>
      </c>
      <c r="I44" s="165"/>
      <c r="J44" s="64"/>
      <c r="K44" s="64"/>
      <c r="L44" s="65"/>
      <c r="M44" s="65"/>
      <c r="N44" s="65"/>
      <c r="O44" s="65"/>
      <c r="P44" s="65"/>
      <c r="Q44" s="65"/>
      <c r="R44" s="65"/>
      <c r="S44" s="65"/>
      <c r="T44" s="65"/>
      <c r="U44" s="65"/>
      <c r="V44" s="65"/>
      <c r="W44" s="65"/>
      <c r="X44" s="65"/>
      <c r="Y44" s="65"/>
      <c r="Z44" s="65"/>
      <c r="AA44" s="65"/>
      <c r="AB44" s="65"/>
      <c r="AC44" s="65"/>
      <c r="AD44" s="65"/>
      <c r="AE44" s="65"/>
      <c r="AF44" s="65"/>
      <c r="AG44" s="65"/>
      <c r="AH44" s="65"/>
      <c r="AI44" s="65"/>
      <c r="AJ44" s="65"/>
      <c r="AK44" s="65"/>
      <c r="AL44" s="65"/>
      <c r="AM44" s="65"/>
      <c r="AN44" s="504"/>
      <c r="AO44" s="504"/>
      <c r="AP44" s="504"/>
      <c r="AQ44" s="504"/>
      <c r="AR44" s="504"/>
      <c r="AS44" s="504"/>
      <c r="AT44" s="504"/>
      <c r="AU44" s="504"/>
      <c r="AV44" s="504"/>
      <c r="AW44" s="504"/>
      <c r="AX44" s="504"/>
      <c r="AY44" s="504"/>
      <c r="AZ44" s="504"/>
      <c r="BA44" s="504"/>
      <c r="BB44" s="504"/>
      <c r="BC44" s="504"/>
      <c r="BD44" s="504"/>
      <c r="BE44" s="504"/>
      <c r="BF44" s="504"/>
      <c r="BG44" s="504"/>
      <c r="BH44" s="504"/>
      <c r="BI44" s="504"/>
      <c r="BJ44" s="504"/>
      <c r="BK44" s="504"/>
      <c r="BL44" s="504"/>
      <c r="BM44" s="504"/>
      <c r="BN44" s="504"/>
      <c r="BO44" s="504"/>
      <c r="BP44" s="504"/>
      <c r="BQ44" s="504"/>
      <c r="BR44" s="504"/>
      <c r="BS44" s="504"/>
      <c r="BT44" s="504"/>
      <c r="BU44" s="504"/>
      <c r="BV44" s="504"/>
      <c r="BW44" s="504"/>
      <c r="BX44" s="504"/>
      <c r="BY44" s="504"/>
    </row>
    <row r="45" spans="1:77" s="60" customFormat="1" x14ac:dyDescent="0.35">
      <c r="B45" s="111" t="s">
        <v>65</v>
      </c>
      <c r="C45" s="131" t="str">
        <f>IF(SUM(I17:I20)&gt;0,"(Error]",H$44*H35/1000)</f>
        <v>(Error]</v>
      </c>
      <c r="G45" s="133"/>
      <c r="H45" s="140" t="str">
        <f>C45</f>
        <v>(Error]</v>
      </c>
      <c r="I45" s="165"/>
      <c r="J45" s="64"/>
      <c r="K45" s="64"/>
      <c r="L45" s="65"/>
      <c r="M45" s="65"/>
      <c r="N45" s="65"/>
      <c r="O45" s="65"/>
      <c r="P45" s="65"/>
      <c r="Q45" s="65"/>
      <c r="R45" s="65"/>
      <c r="S45" s="65"/>
      <c r="T45" s="65"/>
      <c r="U45" s="65"/>
      <c r="V45" s="65"/>
      <c r="W45" s="65"/>
      <c r="X45" s="65"/>
      <c r="Y45" s="65"/>
      <c r="Z45" s="65"/>
      <c r="AA45" s="65"/>
      <c r="AB45" s="65"/>
      <c r="AC45" s="65"/>
      <c r="AD45" s="65"/>
      <c r="AE45" s="65"/>
      <c r="AF45" s="65"/>
      <c r="AG45" s="65"/>
      <c r="AH45" s="65"/>
      <c r="AI45" s="65"/>
      <c r="AJ45" s="65"/>
      <c r="AK45" s="65"/>
      <c r="AL45" s="65"/>
      <c r="AM45" s="65"/>
      <c r="AN45" s="504"/>
      <c r="AO45" s="504"/>
      <c r="AP45" s="504"/>
      <c r="AQ45" s="504"/>
      <c r="AR45" s="504"/>
      <c r="AS45" s="504"/>
      <c r="AT45" s="504"/>
      <c r="AU45" s="504"/>
      <c r="AV45" s="504"/>
      <c r="AW45" s="504"/>
      <c r="AX45" s="504"/>
      <c r="AY45" s="504"/>
      <c r="AZ45" s="504"/>
      <c r="BA45" s="504"/>
      <c r="BB45" s="504"/>
      <c r="BC45" s="504"/>
      <c r="BD45" s="504"/>
      <c r="BE45" s="504"/>
      <c r="BF45" s="504"/>
      <c r="BG45" s="504"/>
      <c r="BH45" s="504"/>
      <c r="BI45" s="504"/>
      <c r="BJ45" s="504"/>
      <c r="BK45" s="504"/>
      <c r="BL45" s="504"/>
      <c r="BM45" s="504"/>
      <c r="BN45" s="504"/>
      <c r="BO45" s="504"/>
      <c r="BP45" s="504"/>
      <c r="BQ45" s="504"/>
      <c r="BR45" s="504"/>
      <c r="BS45" s="504"/>
      <c r="BT45" s="504"/>
      <c r="BU45" s="504"/>
      <c r="BV45" s="504"/>
      <c r="BW45" s="504"/>
      <c r="BX45" s="504"/>
      <c r="BY45" s="504"/>
    </row>
    <row r="46" spans="1:77" s="60" customFormat="1" x14ac:dyDescent="0.35">
      <c r="B46" s="111" t="s">
        <v>66</v>
      </c>
      <c r="C46" s="131" t="str">
        <f>IF(SUM(I17:I20)&gt;0,"(Error]",H$44*H36/1000)</f>
        <v>(Error]</v>
      </c>
      <c r="G46" s="133"/>
      <c r="H46" s="140" t="str">
        <f t="shared" ref="H46:H49" si="5">C46</f>
        <v>(Error]</v>
      </c>
      <c r="I46" s="165"/>
      <c r="J46" s="64"/>
      <c r="K46" s="64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  <c r="AA46" s="65"/>
      <c r="AB46" s="65"/>
      <c r="AC46" s="65"/>
      <c r="AD46" s="65"/>
      <c r="AE46" s="65"/>
      <c r="AF46" s="65"/>
      <c r="AG46" s="65"/>
      <c r="AH46" s="65"/>
      <c r="AI46" s="65"/>
      <c r="AJ46" s="65"/>
      <c r="AK46" s="65"/>
      <c r="AL46" s="65"/>
      <c r="AM46" s="65"/>
      <c r="AN46" s="504"/>
      <c r="AO46" s="504"/>
      <c r="AP46" s="504"/>
      <c r="AQ46" s="504"/>
      <c r="AR46" s="504"/>
      <c r="AS46" s="504"/>
      <c r="AT46" s="504"/>
      <c r="AU46" s="504"/>
      <c r="AV46" s="504"/>
      <c r="AW46" s="504"/>
      <c r="AX46" s="504"/>
      <c r="AY46" s="504"/>
      <c r="AZ46" s="504"/>
      <c r="BA46" s="504"/>
      <c r="BB46" s="504"/>
      <c r="BC46" s="504"/>
      <c r="BD46" s="504"/>
      <c r="BE46" s="504"/>
      <c r="BF46" s="504"/>
      <c r="BG46" s="504"/>
      <c r="BH46" s="504"/>
      <c r="BI46" s="504"/>
      <c r="BJ46" s="504"/>
      <c r="BK46" s="504"/>
      <c r="BL46" s="504"/>
      <c r="BM46" s="504"/>
      <c r="BN46" s="504"/>
      <c r="BO46" s="504"/>
      <c r="BP46" s="504"/>
      <c r="BQ46" s="504"/>
      <c r="BR46" s="504"/>
      <c r="BS46" s="504"/>
      <c r="BT46" s="504"/>
      <c r="BU46" s="504"/>
      <c r="BV46" s="504"/>
      <c r="BW46" s="504"/>
      <c r="BX46" s="504"/>
      <c r="BY46" s="504"/>
    </row>
    <row r="47" spans="1:77" s="60" customFormat="1" x14ac:dyDescent="0.35">
      <c r="B47" s="111" t="s">
        <v>67</v>
      </c>
      <c r="C47" s="131" t="str">
        <f>IF(SUM(I17:I20)&gt;0,"(Error]",H$44*H37/1000)</f>
        <v>(Error]</v>
      </c>
      <c r="D47" s="1"/>
      <c r="E47" s="1"/>
      <c r="F47" s="1"/>
      <c r="G47" s="133"/>
      <c r="H47" s="140" t="str">
        <f t="shared" si="5"/>
        <v>(Error]</v>
      </c>
      <c r="I47" s="165"/>
      <c r="J47" s="64"/>
      <c r="K47" s="64"/>
      <c r="L47" s="64"/>
      <c r="M47" s="65"/>
      <c r="N47" s="65"/>
      <c r="O47" s="65"/>
      <c r="P47" s="65"/>
      <c r="Q47" s="65"/>
      <c r="R47" s="65"/>
      <c r="S47" s="65"/>
      <c r="T47" s="65"/>
      <c r="U47" s="65"/>
      <c r="V47" s="65"/>
      <c r="W47" s="65"/>
      <c r="X47" s="65"/>
      <c r="Y47" s="65"/>
      <c r="Z47" s="65"/>
      <c r="AA47" s="65"/>
      <c r="AB47" s="65"/>
      <c r="AC47" s="65"/>
      <c r="AD47" s="65"/>
      <c r="AE47" s="65"/>
      <c r="AF47" s="65"/>
      <c r="AG47" s="65"/>
      <c r="AH47" s="65"/>
      <c r="AI47" s="65"/>
      <c r="AJ47" s="65"/>
      <c r="AK47" s="65"/>
      <c r="AL47" s="65"/>
      <c r="AM47" s="65"/>
      <c r="AN47" s="504"/>
      <c r="AO47" s="504"/>
      <c r="AP47" s="504"/>
      <c r="AQ47" s="504"/>
      <c r="AR47" s="504"/>
      <c r="AS47" s="504"/>
      <c r="AT47" s="504"/>
      <c r="AU47" s="504"/>
      <c r="AV47" s="504"/>
      <c r="AW47" s="504"/>
      <c r="AX47" s="504"/>
      <c r="AY47" s="504"/>
      <c r="AZ47" s="504"/>
      <c r="BA47" s="504"/>
      <c r="BB47" s="504"/>
      <c r="BC47" s="504"/>
      <c r="BD47" s="504"/>
      <c r="BE47" s="504"/>
      <c r="BF47" s="504"/>
      <c r="BG47" s="504"/>
      <c r="BH47" s="504"/>
      <c r="BI47" s="504"/>
      <c r="BJ47" s="504"/>
      <c r="BK47" s="504"/>
      <c r="BL47" s="504"/>
      <c r="BM47" s="504"/>
      <c r="BN47" s="504"/>
      <c r="BO47" s="504"/>
      <c r="BP47" s="504"/>
      <c r="BQ47" s="504"/>
      <c r="BR47" s="504"/>
      <c r="BS47" s="504"/>
      <c r="BT47" s="504"/>
      <c r="BU47" s="504"/>
      <c r="BV47" s="504"/>
      <c r="BW47" s="504"/>
      <c r="BX47" s="504"/>
      <c r="BY47" s="504"/>
    </row>
    <row r="48" spans="1:77" x14ac:dyDescent="0.35">
      <c r="B48" s="111" t="s">
        <v>68</v>
      </c>
      <c r="C48" s="131" t="str">
        <f>IF(SUM(I17:I20)&gt;0,"(Error]",H$44*H38/1000)</f>
        <v>(Error]</v>
      </c>
      <c r="G48" s="133"/>
      <c r="H48" s="140" t="str">
        <f t="shared" si="5"/>
        <v>(Error]</v>
      </c>
      <c r="I48" s="165"/>
      <c r="M48" s="64"/>
    </row>
    <row r="49" spans="1:77" x14ac:dyDescent="0.35">
      <c r="B49" s="111" t="s">
        <v>69</v>
      </c>
      <c r="C49" s="131" t="str">
        <f>IF(SUM(I17:I20)&gt;0,"(Error]",H$44*H39/1000)</f>
        <v>(Error]</v>
      </c>
      <c r="G49" s="133"/>
      <c r="H49" s="140" t="str">
        <f t="shared" si="5"/>
        <v>(Error]</v>
      </c>
      <c r="I49" s="165"/>
      <c r="M49" s="64"/>
    </row>
    <row r="50" spans="1:77" x14ac:dyDescent="0.35">
      <c r="G50" s="133"/>
      <c r="H50" s="133"/>
      <c r="I50" s="165"/>
      <c r="M50" s="64"/>
    </row>
    <row r="51" spans="1:77" x14ac:dyDescent="0.35">
      <c r="A51" s="64"/>
      <c r="B51" s="64"/>
      <c r="C51" s="64"/>
      <c r="D51" s="64"/>
      <c r="E51" s="64"/>
      <c r="F51" s="64"/>
      <c r="G51" s="133"/>
      <c r="H51" s="133"/>
      <c r="I51" s="165"/>
      <c r="M51" s="64"/>
    </row>
    <row r="52" spans="1:77" s="64" customFormat="1" x14ac:dyDescent="0.35">
      <c r="G52" s="133"/>
      <c r="H52" s="133"/>
      <c r="I52" s="165"/>
      <c r="AN52" s="13"/>
      <c r="AO52" s="13"/>
      <c r="AP52" s="13"/>
      <c r="AQ52" s="13"/>
      <c r="AR52" s="13"/>
      <c r="AS52" s="13"/>
      <c r="AT52" s="13"/>
      <c r="AU52" s="13"/>
      <c r="AV52" s="13"/>
      <c r="AW52" s="13"/>
      <c r="AX52" s="13"/>
      <c r="AY52" s="13"/>
      <c r="AZ52" s="13"/>
      <c r="BA52" s="13"/>
      <c r="BB52" s="13"/>
      <c r="BC52" s="13"/>
      <c r="BD52" s="13"/>
      <c r="BE52" s="13"/>
      <c r="BF52" s="13"/>
      <c r="BG52" s="13"/>
      <c r="BH52" s="13"/>
      <c r="BI52" s="13"/>
      <c r="BJ52" s="13"/>
      <c r="BK52" s="13"/>
      <c r="BL52" s="13"/>
      <c r="BM52" s="13"/>
      <c r="BN52" s="13"/>
      <c r="BO52" s="13"/>
      <c r="BP52" s="13"/>
      <c r="BQ52" s="13"/>
      <c r="BR52" s="13"/>
      <c r="BS52" s="13"/>
      <c r="BT52" s="13"/>
      <c r="BU52" s="13"/>
      <c r="BV52" s="13"/>
      <c r="BW52" s="13"/>
      <c r="BX52" s="13"/>
      <c r="BY52" s="13"/>
    </row>
    <row r="53" spans="1:77" s="64" customFormat="1" x14ac:dyDescent="0.35">
      <c r="G53" s="133"/>
      <c r="H53" s="133"/>
      <c r="I53" s="165"/>
      <c r="AN53" s="13"/>
      <c r="AO53" s="13"/>
      <c r="AP53" s="13"/>
      <c r="AQ53" s="13"/>
      <c r="AR53" s="13"/>
      <c r="AS53" s="13"/>
      <c r="AT53" s="13"/>
      <c r="AU53" s="13"/>
      <c r="AV53" s="13"/>
      <c r="AW53" s="13"/>
      <c r="AX53" s="13"/>
      <c r="AY53" s="13"/>
      <c r="AZ53" s="13"/>
      <c r="BA53" s="13"/>
      <c r="BB53" s="13"/>
      <c r="BC53" s="13"/>
      <c r="BD53" s="13"/>
      <c r="BE53" s="13"/>
      <c r="BF53" s="13"/>
      <c r="BG53" s="13"/>
      <c r="BH53" s="13"/>
      <c r="BI53" s="13"/>
      <c r="BJ53" s="13"/>
      <c r="BK53" s="13"/>
      <c r="BL53" s="13"/>
      <c r="BM53" s="13"/>
      <c r="BN53" s="13"/>
      <c r="BO53" s="13"/>
      <c r="BP53" s="13"/>
      <c r="BQ53" s="13"/>
      <c r="BR53" s="13"/>
      <c r="BS53" s="13"/>
      <c r="BT53" s="13"/>
      <c r="BU53" s="13"/>
      <c r="BV53" s="13"/>
      <c r="BW53" s="13"/>
      <c r="BX53" s="13"/>
      <c r="BY53" s="13"/>
    </row>
    <row r="54" spans="1:77" s="64" customFormat="1" x14ac:dyDescent="0.35">
      <c r="G54" s="133"/>
      <c r="H54" s="133"/>
      <c r="I54" s="165"/>
      <c r="AN54" s="13"/>
      <c r="AO54" s="13"/>
      <c r="AP54" s="13"/>
      <c r="AQ54" s="13"/>
      <c r="AR54" s="13"/>
      <c r="AS54" s="13"/>
      <c r="AT54" s="13"/>
      <c r="AU54" s="13"/>
      <c r="AV54" s="13"/>
      <c r="AW54" s="13"/>
      <c r="AX54" s="13"/>
      <c r="AY54" s="13"/>
      <c r="AZ54" s="13"/>
      <c r="BA54" s="13"/>
      <c r="BB54" s="13"/>
      <c r="BC54" s="13"/>
      <c r="BD54" s="13"/>
      <c r="BE54" s="13"/>
      <c r="BF54" s="13"/>
      <c r="BG54" s="13"/>
      <c r="BH54" s="13"/>
      <c r="BI54" s="13"/>
      <c r="BJ54" s="13"/>
      <c r="BK54" s="13"/>
      <c r="BL54" s="13"/>
      <c r="BM54" s="13"/>
      <c r="BN54" s="13"/>
      <c r="BO54" s="13"/>
      <c r="BP54" s="13"/>
      <c r="BQ54" s="13"/>
      <c r="BR54" s="13"/>
      <c r="BS54" s="13"/>
      <c r="BT54" s="13"/>
      <c r="BU54" s="13"/>
      <c r="BV54" s="13"/>
      <c r="BW54" s="13"/>
      <c r="BX54" s="13"/>
      <c r="BY54" s="13"/>
    </row>
    <row r="55" spans="1:77" s="64" customFormat="1" x14ac:dyDescent="0.35">
      <c r="G55" s="133"/>
      <c r="H55" s="133"/>
      <c r="I55" s="165"/>
      <c r="AN55" s="13"/>
      <c r="AO55" s="13"/>
      <c r="AP55" s="13"/>
      <c r="AQ55" s="13"/>
      <c r="AR55" s="13"/>
      <c r="AS55" s="13"/>
      <c r="AT55" s="13"/>
      <c r="AU55" s="13"/>
      <c r="AV55" s="13"/>
      <c r="AW55" s="13"/>
      <c r="AX55" s="13"/>
      <c r="AY55" s="13"/>
      <c r="AZ55" s="13"/>
      <c r="BA55" s="13"/>
      <c r="BB55" s="13"/>
      <c r="BC55" s="13"/>
      <c r="BD55" s="13"/>
      <c r="BE55" s="13"/>
      <c r="BF55" s="13"/>
      <c r="BG55" s="13"/>
      <c r="BH55" s="13"/>
      <c r="BI55" s="13"/>
      <c r="BJ55" s="13"/>
      <c r="BK55" s="13"/>
      <c r="BL55" s="13"/>
      <c r="BM55" s="13"/>
      <c r="BN55" s="13"/>
      <c r="BO55" s="13"/>
      <c r="BP55" s="13"/>
      <c r="BQ55" s="13"/>
      <c r="BR55" s="13"/>
      <c r="BS55" s="13"/>
      <c r="BT55" s="13"/>
      <c r="BU55" s="13"/>
      <c r="BV55" s="13"/>
      <c r="BW55" s="13"/>
      <c r="BX55" s="13"/>
      <c r="BY55" s="13"/>
    </row>
    <row r="56" spans="1:77" s="64" customFormat="1" x14ac:dyDescent="0.35">
      <c r="G56" s="133"/>
      <c r="H56" s="133"/>
      <c r="I56" s="165"/>
      <c r="AN56" s="13"/>
      <c r="AO56" s="13"/>
      <c r="AP56" s="13"/>
      <c r="AQ56" s="13"/>
      <c r="AR56" s="13"/>
      <c r="AS56" s="13"/>
      <c r="AT56" s="13"/>
      <c r="AU56" s="13"/>
      <c r="AV56" s="13"/>
      <c r="AW56" s="13"/>
      <c r="AX56" s="13"/>
      <c r="AY56" s="13"/>
      <c r="AZ56" s="13"/>
      <c r="BA56" s="13"/>
      <c r="BB56" s="13"/>
      <c r="BC56" s="13"/>
      <c r="BD56" s="13"/>
      <c r="BE56" s="13"/>
      <c r="BF56" s="13"/>
      <c r="BG56" s="13"/>
      <c r="BH56" s="13"/>
      <c r="BI56" s="13"/>
      <c r="BJ56" s="13"/>
      <c r="BK56" s="13"/>
      <c r="BL56" s="13"/>
      <c r="BM56" s="13"/>
      <c r="BN56" s="13"/>
      <c r="BO56" s="13"/>
      <c r="BP56" s="13"/>
      <c r="BQ56" s="13"/>
      <c r="BR56" s="13"/>
      <c r="BS56" s="13"/>
      <c r="BT56" s="13"/>
      <c r="BU56" s="13"/>
      <c r="BV56" s="13"/>
      <c r="BW56" s="13"/>
      <c r="BX56" s="13"/>
      <c r="BY56" s="13"/>
    </row>
    <row r="57" spans="1:77" s="64" customFormat="1" x14ac:dyDescent="0.35">
      <c r="G57" s="133"/>
      <c r="H57" s="133"/>
      <c r="I57" s="165"/>
      <c r="AN57" s="13"/>
      <c r="AO57" s="13"/>
      <c r="AP57" s="13"/>
      <c r="AQ57" s="13"/>
      <c r="AR57" s="13"/>
      <c r="AS57" s="13"/>
      <c r="AT57" s="13"/>
      <c r="AU57" s="13"/>
      <c r="AV57" s="13"/>
      <c r="AW57" s="13"/>
      <c r="AX57" s="13"/>
      <c r="AY57" s="13"/>
      <c r="AZ57" s="13"/>
      <c r="BA57" s="13"/>
      <c r="BB57" s="13"/>
      <c r="BC57" s="13"/>
      <c r="BD57" s="13"/>
      <c r="BE57" s="13"/>
      <c r="BF57" s="13"/>
      <c r="BG57" s="13"/>
      <c r="BH57" s="13"/>
      <c r="BI57" s="13"/>
      <c r="BJ57" s="13"/>
      <c r="BK57" s="13"/>
      <c r="BL57" s="13"/>
      <c r="BM57" s="13"/>
      <c r="BN57" s="13"/>
      <c r="BO57" s="13"/>
      <c r="BP57" s="13"/>
      <c r="BQ57" s="13"/>
      <c r="BR57" s="13"/>
      <c r="BS57" s="13"/>
      <c r="BT57" s="13"/>
      <c r="BU57" s="13"/>
      <c r="BV57" s="13"/>
      <c r="BW57" s="13"/>
      <c r="BX57" s="13"/>
      <c r="BY57" s="13"/>
    </row>
    <row r="58" spans="1:77" s="64" customFormat="1" x14ac:dyDescent="0.35">
      <c r="G58" s="133"/>
      <c r="H58" s="133"/>
      <c r="I58" s="165"/>
      <c r="AN58" s="13"/>
      <c r="AO58" s="13"/>
      <c r="AP58" s="13"/>
      <c r="AQ58" s="13"/>
      <c r="AR58" s="13"/>
      <c r="AS58" s="13"/>
      <c r="AT58" s="13"/>
      <c r="AU58" s="13"/>
      <c r="AV58" s="13"/>
      <c r="AW58" s="13"/>
      <c r="AX58" s="13"/>
      <c r="AY58" s="13"/>
      <c r="AZ58" s="13"/>
      <c r="BA58" s="13"/>
      <c r="BB58" s="13"/>
      <c r="BC58" s="13"/>
      <c r="BD58" s="13"/>
      <c r="BE58" s="13"/>
      <c r="BF58" s="13"/>
      <c r="BG58" s="13"/>
      <c r="BH58" s="13"/>
      <c r="BI58" s="13"/>
      <c r="BJ58" s="13"/>
      <c r="BK58" s="13"/>
      <c r="BL58" s="13"/>
      <c r="BM58" s="13"/>
      <c r="BN58" s="13"/>
      <c r="BO58" s="13"/>
      <c r="BP58" s="13"/>
      <c r="BQ58" s="13"/>
      <c r="BR58" s="13"/>
      <c r="BS58" s="13"/>
      <c r="BT58" s="13"/>
      <c r="BU58" s="13"/>
      <c r="BV58" s="13"/>
      <c r="BW58" s="13"/>
      <c r="BX58" s="13"/>
      <c r="BY58" s="13"/>
    </row>
    <row r="59" spans="1:77" s="64" customFormat="1" x14ac:dyDescent="0.35">
      <c r="G59" s="133"/>
      <c r="H59" s="133"/>
      <c r="I59" s="165"/>
      <c r="AN59" s="13"/>
      <c r="AO59" s="13"/>
      <c r="AP59" s="13"/>
      <c r="AQ59" s="13"/>
      <c r="AR59" s="13"/>
      <c r="AS59" s="13"/>
      <c r="AT59" s="13"/>
      <c r="AU59" s="13"/>
      <c r="AV59" s="13"/>
      <c r="AW59" s="13"/>
      <c r="AX59" s="13"/>
      <c r="AY59" s="13"/>
      <c r="AZ59" s="13"/>
      <c r="BA59" s="13"/>
      <c r="BB59" s="13"/>
      <c r="BC59" s="13"/>
      <c r="BD59" s="13"/>
      <c r="BE59" s="13"/>
      <c r="BF59" s="13"/>
      <c r="BG59" s="13"/>
      <c r="BH59" s="13"/>
      <c r="BI59" s="13"/>
      <c r="BJ59" s="13"/>
      <c r="BK59" s="13"/>
      <c r="BL59" s="13"/>
      <c r="BM59" s="13"/>
      <c r="BN59" s="13"/>
      <c r="BO59" s="13"/>
      <c r="BP59" s="13"/>
      <c r="BQ59" s="13"/>
      <c r="BR59" s="13"/>
      <c r="BS59" s="13"/>
      <c r="BT59" s="13"/>
      <c r="BU59" s="13"/>
      <c r="BV59" s="13"/>
      <c r="BW59" s="13"/>
      <c r="BX59" s="13"/>
      <c r="BY59" s="13"/>
    </row>
    <row r="60" spans="1:77" s="64" customFormat="1" x14ac:dyDescent="0.35">
      <c r="G60" s="133"/>
      <c r="H60" s="133"/>
      <c r="I60" s="165"/>
      <c r="AN60" s="13"/>
      <c r="AO60" s="13"/>
      <c r="AP60" s="13"/>
      <c r="AQ60" s="13"/>
      <c r="AR60" s="13"/>
      <c r="AS60" s="13"/>
      <c r="AT60" s="13"/>
      <c r="AU60" s="13"/>
      <c r="AV60" s="13"/>
      <c r="AW60" s="13"/>
      <c r="AX60" s="13"/>
      <c r="AY60" s="13"/>
      <c r="AZ60" s="13"/>
      <c r="BA60" s="13"/>
      <c r="BB60" s="13"/>
      <c r="BC60" s="13"/>
      <c r="BD60" s="13"/>
      <c r="BE60" s="13"/>
      <c r="BF60" s="13"/>
      <c r="BG60" s="13"/>
      <c r="BH60" s="13"/>
      <c r="BI60" s="13"/>
      <c r="BJ60" s="13"/>
      <c r="BK60" s="13"/>
      <c r="BL60" s="13"/>
      <c r="BM60" s="13"/>
      <c r="BN60" s="13"/>
      <c r="BO60" s="13"/>
      <c r="BP60" s="13"/>
      <c r="BQ60" s="13"/>
      <c r="BR60" s="13"/>
      <c r="BS60" s="13"/>
      <c r="BT60" s="13"/>
      <c r="BU60" s="13"/>
      <c r="BV60" s="13"/>
      <c r="BW60" s="13"/>
      <c r="BX60" s="13"/>
      <c r="BY60" s="13"/>
    </row>
    <row r="61" spans="1:77" s="64" customFormat="1" x14ac:dyDescent="0.35">
      <c r="G61" s="133"/>
      <c r="H61" s="133"/>
      <c r="I61" s="165"/>
      <c r="AN61" s="13"/>
      <c r="AO61" s="13"/>
      <c r="AP61" s="13"/>
      <c r="AQ61" s="13"/>
      <c r="AR61" s="13"/>
      <c r="AS61" s="13"/>
      <c r="AT61" s="13"/>
      <c r="AU61" s="13"/>
      <c r="AV61" s="13"/>
      <c r="AW61" s="13"/>
      <c r="AX61" s="13"/>
      <c r="AY61" s="13"/>
      <c r="AZ61" s="13"/>
      <c r="BA61" s="13"/>
      <c r="BB61" s="13"/>
      <c r="BC61" s="13"/>
      <c r="BD61" s="13"/>
      <c r="BE61" s="13"/>
      <c r="BF61" s="13"/>
      <c r="BG61" s="13"/>
      <c r="BH61" s="13"/>
      <c r="BI61" s="13"/>
      <c r="BJ61" s="13"/>
      <c r="BK61" s="13"/>
      <c r="BL61" s="13"/>
      <c r="BM61" s="13"/>
      <c r="BN61" s="13"/>
      <c r="BO61" s="13"/>
      <c r="BP61" s="13"/>
      <c r="BQ61" s="13"/>
      <c r="BR61" s="13"/>
      <c r="BS61" s="13"/>
      <c r="BT61" s="13"/>
      <c r="BU61" s="13"/>
      <c r="BV61" s="13"/>
      <c r="BW61" s="13"/>
      <c r="BX61" s="13"/>
      <c r="BY61" s="13"/>
    </row>
    <row r="62" spans="1:77" s="64" customFormat="1" x14ac:dyDescent="0.35">
      <c r="G62" s="133"/>
      <c r="H62" s="133"/>
      <c r="I62" s="165"/>
      <c r="AN62" s="13"/>
      <c r="AO62" s="13"/>
      <c r="AP62" s="13"/>
      <c r="AQ62" s="13"/>
      <c r="AR62" s="13"/>
      <c r="AS62" s="13"/>
      <c r="AT62" s="13"/>
      <c r="AU62" s="13"/>
      <c r="AV62" s="13"/>
      <c r="AW62" s="13"/>
      <c r="AX62" s="13"/>
      <c r="AY62" s="13"/>
      <c r="AZ62" s="13"/>
      <c r="BA62" s="13"/>
      <c r="BB62" s="13"/>
      <c r="BC62" s="13"/>
      <c r="BD62" s="13"/>
      <c r="BE62" s="13"/>
      <c r="BF62" s="13"/>
      <c r="BG62" s="13"/>
      <c r="BH62" s="13"/>
      <c r="BI62" s="13"/>
      <c r="BJ62" s="13"/>
      <c r="BK62" s="13"/>
      <c r="BL62" s="13"/>
      <c r="BM62" s="13"/>
      <c r="BN62" s="13"/>
      <c r="BO62" s="13"/>
      <c r="BP62" s="13"/>
      <c r="BQ62" s="13"/>
      <c r="BR62" s="13"/>
      <c r="BS62" s="13"/>
      <c r="BT62" s="13"/>
      <c r="BU62" s="13"/>
      <c r="BV62" s="13"/>
      <c r="BW62" s="13"/>
      <c r="BX62" s="13"/>
      <c r="BY62" s="13"/>
    </row>
    <row r="63" spans="1:77" s="64" customFormat="1" x14ac:dyDescent="0.35">
      <c r="G63" s="133"/>
      <c r="H63" s="133"/>
      <c r="I63" s="165"/>
      <c r="AN63" s="13"/>
      <c r="AO63" s="13"/>
      <c r="AP63" s="13"/>
      <c r="AQ63" s="13"/>
      <c r="AR63" s="13"/>
      <c r="AS63" s="13"/>
      <c r="AT63" s="13"/>
      <c r="AU63" s="13"/>
      <c r="AV63" s="13"/>
      <c r="AW63" s="13"/>
      <c r="AX63" s="13"/>
      <c r="AY63" s="13"/>
      <c r="AZ63" s="13"/>
      <c r="BA63" s="13"/>
      <c r="BB63" s="13"/>
      <c r="BC63" s="13"/>
      <c r="BD63" s="13"/>
      <c r="BE63" s="13"/>
      <c r="BF63" s="13"/>
      <c r="BG63" s="13"/>
      <c r="BH63" s="13"/>
      <c r="BI63" s="13"/>
      <c r="BJ63" s="13"/>
      <c r="BK63" s="13"/>
      <c r="BL63" s="13"/>
      <c r="BM63" s="13"/>
      <c r="BN63" s="13"/>
      <c r="BO63" s="13"/>
      <c r="BP63" s="13"/>
      <c r="BQ63" s="13"/>
      <c r="BR63" s="13"/>
      <c r="BS63" s="13"/>
      <c r="BT63" s="13"/>
      <c r="BU63" s="13"/>
      <c r="BV63" s="13"/>
      <c r="BW63" s="13"/>
      <c r="BX63" s="13"/>
      <c r="BY63" s="13"/>
    </row>
    <row r="64" spans="1:77" s="64" customFormat="1" x14ac:dyDescent="0.35">
      <c r="G64" s="133"/>
      <c r="H64" s="133"/>
      <c r="I64" s="165"/>
      <c r="AN64" s="13"/>
      <c r="AO64" s="13"/>
      <c r="AP64" s="13"/>
      <c r="AQ64" s="13"/>
      <c r="AR64" s="13"/>
      <c r="AS64" s="13"/>
      <c r="AT64" s="13"/>
      <c r="AU64" s="13"/>
      <c r="AV64" s="13"/>
      <c r="AW64" s="13"/>
      <c r="AX64" s="13"/>
      <c r="AY64" s="13"/>
      <c r="AZ64" s="13"/>
      <c r="BA64" s="13"/>
      <c r="BB64" s="13"/>
      <c r="BC64" s="13"/>
      <c r="BD64" s="13"/>
      <c r="BE64" s="13"/>
      <c r="BF64" s="13"/>
      <c r="BG64" s="13"/>
      <c r="BH64" s="13"/>
      <c r="BI64" s="13"/>
      <c r="BJ64" s="13"/>
      <c r="BK64" s="13"/>
      <c r="BL64" s="13"/>
      <c r="BM64" s="13"/>
      <c r="BN64" s="13"/>
      <c r="BO64" s="13"/>
      <c r="BP64" s="13"/>
      <c r="BQ64" s="13"/>
      <c r="BR64" s="13"/>
      <c r="BS64" s="13"/>
      <c r="BT64" s="13"/>
      <c r="BU64" s="13"/>
      <c r="BV64" s="13"/>
      <c r="BW64" s="13"/>
      <c r="BX64" s="13"/>
      <c r="BY64" s="13"/>
    </row>
    <row r="65" spans="7:77" s="64" customFormat="1" x14ac:dyDescent="0.35">
      <c r="G65" s="133"/>
      <c r="H65" s="133"/>
      <c r="I65" s="165"/>
      <c r="AN65" s="13"/>
      <c r="AO65" s="13"/>
      <c r="AP65" s="13"/>
      <c r="AQ65" s="13"/>
      <c r="AR65" s="13"/>
      <c r="AS65" s="13"/>
      <c r="AT65" s="13"/>
      <c r="AU65" s="13"/>
      <c r="AV65" s="13"/>
      <c r="AW65" s="13"/>
      <c r="AX65" s="13"/>
      <c r="AY65" s="13"/>
      <c r="AZ65" s="13"/>
      <c r="BA65" s="13"/>
      <c r="BB65" s="13"/>
      <c r="BC65" s="13"/>
      <c r="BD65" s="13"/>
      <c r="BE65" s="13"/>
      <c r="BF65" s="13"/>
      <c r="BG65" s="13"/>
      <c r="BH65" s="13"/>
      <c r="BI65" s="13"/>
      <c r="BJ65" s="13"/>
      <c r="BK65" s="13"/>
      <c r="BL65" s="13"/>
      <c r="BM65" s="13"/>
      <c r="BN65" s="13"/>
      <c r="BO65" s="13"/>
      <c r="BP65" s="13"/>
      <c r="BQ65" s="13"/>
      <c r="BR65" s="13"/>
      <c r="BS65" s="13"/>
      <c r="BT65" s="13"/>
      <c r="BU65" s="13"/>
      <c r="BV65" s="13"/>
      <c r="BW65" s="13"/>
      <c r="BX65" s="13"/>
      <c r="BY65" s="13"/>
    </row>
    <row r="66" spans="7:77" s="64" customFormat="1" x14ac:dyDescent="0.35">
      <c r="G66" s="133"/>
      <c r="H66" s="133"/>
      <c r="I66" s="165"/>
      <c r="AN66" s="13"/>
      <c r="AO66" s="13"/>
      <c r="AP66" s="13"/>
      <c r="AQ66" s="13"/>
      <c r="AR66" s="13"/>
      <c r="AS66" s="13"/>
      <c r="AT66" s="13"/>
      <c r="AU66" s="13"/>
      <c r="AV66" s="13"/>
      <c r="AW66" s="13"/>
      <c r="AX66" s="13"/>
      <c r="AY66" s="13"/>
      <c r="AZ66" s="13"/>
      <c r="BA66" s="13"/>
      <c r="BB66" s="13"/>
      <c r="BC66" s="13"/>
      <c r="BD66" s="13"/>
      <c r="BE66" s="13"/>
      <c r="BF66" s="13"/>
      <c r="BG66" s="13"/>
      <c r="BH66" s="13"/>
      <c r="BI66" s="13"/>
      <c r="BJ66" s="13"/>
      <c r="BK66" s="13"/>
      <c r="BL66" s="13"/>
      <c r="BM66" s="13"/>
      <c r="BN66" s="13"/>
      <c r="BO66" s="13"/>
      <c r="BP66" s="13"/>
      <c r="BQ66" s="13"/>
      <c r="BR66" s="13"/>
      <c r="BS66" s="13"/>
      <c r="BT66" s="13"/>
      <c r="BU66" s="13"/>
      <c r="BV66" s="13"/>
      <c r="BW66" s="13"/>
      <c r="BX66" s="13"/>
      <c r="BY66" s="13"/>
    </row>
    <row r="67" spans="7:77" s="64" customFormat="1" x14ac:dyDescent="0.35">
      <c r="G67" s="133"/>
      <c r="H67" s="133"/>
      <c r="I67" s="165"/>
      <c r="AN67" s="13"/>
      <c r="AO67" s="13"/>
      <c r="AP67" s="13"/>
      <c r="AQ67" s="13"/>
      <c r="AR67" s="13"/>
      <c r="AS67" s="13"/>
      <c r="AT67" s="13"/>
      <c r="AU67" s="13"/>
      <c r="AV67" s="13"/>
      <c r="AW67" s="13"/>
      <c r="AX67" s="13"/>
      <c r="AY67" s="13"/>
      <c r="AZ67" s="13"/>
      <c r="BA67" s="13"/>
      <c r="BB67" s="13"/>
      <c r="BC67" s="13"/>
      <c r="BD67" s="13"/>
      <c r="BE67" s="13"/>
      <c r="BF67" s="13"/>
      <c r="BG67" s="13"/>
      <c r="BH67" s="13"/>
      <c r="BI67" s="13"/>
      <c r="BJ67" s="13"/>
      <c r="BK67" s="13"/>
      <c r="BL67" s="13"/>
      <c r="BM67" s="13"/>
      <c r="BN67" s="13"/>
      <c r="BO67" s="13"/>
      <c r="BP67" s="13"/>
      <c r="BQ67" s="13"/>
      <c r="BR67" s="13"/>
      <c r="BS67" s="13"/>
      <c r="BT67" s="13"/>
      <c r="BU67" s="13"/>
      <c r="BV67" s="13"/>
      <c r="BW67" s="13"/>
      <c r="BX67" s="13"/>
      <c r="BY67" s="13"/>
    </row>
    <row r="68" spans="7:77" s="64" customFormat="1" x14ac:dyDescent="0.35">
      <c r="G68" s="133"/>
      <c r="H68" s="133"/>
      <c r="I68" s="165"/>
      <c r="AN68" s="13"/>
      <c r="AO68" s="13"/>
      <c r="AP68" s="13"/>
      <c r="AQ68" s="13"/>
      <c r="AR68" s="13"/>
      <c r="AS68" s="13"/>
      <c r="AT68" s="13"/>
      <c r="AU68" s="13"/>
      <c r="AV68" s="13"/>
      <c r="AW68" s="13"/>
      <c r="AX68" s="13"/>
      <c r="AY68" s="13"/>
      <c r="AZ68" s="13"/>
      <c r="BA68" s="13"/>
      <c r="BB68" s="13"/>
      <c r="BC68" s="13"/>
      <c r="BD68" s="13"/>
      <c r="BE68" s="13"/>
      <c r="BF68" s="13"/>
      <c r="BG68" s="13"/>
      <c r="BH68" s="13"/>
      <c r="BI68" s="13"/>
      <c r="BJ68" s="13"/>
      <c r="BK68" s="13"/>
      <c r="BL68" s="13"/>
      <c r="BM68" s="13"/>
      <c r="BN68" s="13"/>
      <c r="BO68" s="13"/>
      <c r="BP68" s="13"/>
      <c r="BQ68" s="13"/>
      <c r="BR68" s="13"/>
      <c r="BS68" s="13"/>
      <c r="BT68" s="13"/>
      <c r="BU68" s="13"/>
      <c r="BV68" s="13"/>
      <c r="BW68" s="13"/>
      <c r="BX68" s="13"/>
      <c r="BY68" s="13"/>
    </row>
    <row r="69" spans="7:77" s="64" customFormat="1" x14ac:dyDescent="0.35">
      <c r="G69" s="133"/>
      <c r="H69" s="133"/>
      <c r="I69" s="165"/>
      <c r="AN69" s="13"/>
      <c r="AO69" s="13"/>
      <c r="AP69" s="13"/>
      <c r="AQ69" s="13"/>
      <c r="AR69" s="13"/>
      <c r="AS69" s="13"/>
      <c r="AT69" s="13"/>
      <c r="AU69" s="13"/>
      <c r="AV69" s="13"/>
      <c r="AW69" s="13"/>
      <c r="AX69" s="13"/>
      <c r="AY69" s="13"/>
      <c r="AZ69" s="13"/>
      <c r="BA69" s="13"/>
      <c r="BB69" s="13"/>
      <c r="BC69" s="13"/>
      <c r="BD69" s="13"/>
      <c r="BE69" s="13"/>
      <c r="BF69" s="13"/>
      <c r="BG69" s="13"/>
      <c r="BH69" s="13"/>
      <c r="BI69" s="13"/>
      <c r="BJ69" s="13"/>
      <c r="BK69" s="13"/>
      <c r="BL69" s="13"/>
      <c r="BM69" s="13"/>
      <c r="BN69" s="13"/>
      <c r="BO69" s="13"/>
      <c r="BP69" s="13"/>
      <c r="BQ69" s="13"/>
      <c r="BR69" s="13"/>
      <c r="BS69" s="13"/>
      <c r="BT69" s="13"/>
      <c r="BU69" s="13"/>
      <c r="BV69" s="13"/>
      <c r="BW69" s="13"/>
      <c r="BX69" s="13"/>
      <c r="BY69" s="13"/>
    </row>
    <row r="70" spans="7:77" s="64" customFormat="1" x14ac:dyDescent="0.35">
      <c r="G70" s="133"/>
      <c r="H70" s="133"/>
      <c r="I70" s="165"/>
      <c r="AN70" s="13"/>
      <c r="AO70" s="13"/>
      <c r="AP70" s="13"/>
      <c r="AQ70" s="13"/>
      <c r="AR70" s="13"/>
      <c r="AS70" s="13"/>
      <c r="AT70" s="13"/>
      <c r="AU70" s="13"/>
      <c r="AV70" s="13"/>
      <c r="AW70" s="13"/>
      <c r="AX70" s="13"/>
      <c r="AY70" s="13"/>
      <c r="AZ70" s="13"/>
      <c r="BA70" s="13"/>
      <c r="BB70" s="13"/>
      <c r="BC70" s="13"/>
      <c r="BD70" s="13"/>
      <c r="BE70" s="13"/>
      <c r="BF70" s="13"/>
      <c r="BG70" s="13"/>
      <c r="BH70" s="13"/>
      <c r="BI70" s="13"/>
      <c r="BJ70" s="13"/>
      <c r="BK70" s="13"/>
      <c r="BL70" s="13"/>
      <c r="BM70" s="13"/>
      <c r="BN70" s="13"/>
      <c r="BO70" s="13"/>
      <c r="BP70" s="13"/>
      <c r="BQ70" s="13"/>
      <c r="BR70" s="13"/>
      <c r="BS70" s="13"/>
      <c r="BT70" s="13"/>
      <c r="BU70" s="13"/>
      <c r="BV70" s="13"/>
      <c r="BW70" s="13"/>
      <c r="BX70" s="13"/>
      <c r="BY70" s="13"/>
    </row>
    <row r="71" spans="7:77" s="64" customFormat="1" x14ac:dyDescent="0.35">
      <c r="G71" s="133"/>
      <c r="H71" s="133"/>
      <c r="I71" s="165"/>
      <c r="AN71" s="13"/>
      <c r="AO71" s="13"/>
      <c r="AP71" s="13"/>
      <c r="AQ71" s="13"/>
      <c r="AR71" s="13"/>
      <c r="AS71" s="13"/>
      <c r="AT71" s="13"/>
      <c r="AU71" s="13"/>
      <c r="AV71" s="13"/>
      <c r="AW71" s="13"/>
      <c r="AX71" s="13"/>
      <c r="AY71" s="13"/>
      <c r="AZ71" s="13"/>
      <c r="BA71" s="13"/>
      <c r="BB71" s="13"/>
      <c r="BC71" s="13"/>
      <c r="BD71" s="13"/>
      <c r="BE71" s="13"/>
      <c r="BF71" s="13"/>
      <c r="BG71" s="13"/>
      <c r="BH71" s="13"/>
      <c r="BI71" s="13"/>
      <c r="BJ71" s="13"/>
      <c r="BK71" s="13"/>
      <c r="BL71" s="13"/>
      <c r="BM71" s="13"/>
      <c r="BN71" s="13"/>
      <c r="BO71" s="13"/>
      <c r="BP71" s="13"/>
      <c r="BQ71" s="13"/>
      <c r="BR71" s="13"/>
      <c r="BS71" s="13"/>
      <c r="BT71" s="13"/>
      <c r="BU71" s="13"/>
      <c r="BV71" s="13"/>
      <c r="BW71" s="13"/>
      <c r="BX71" s="13"/>
      <c r="BY71" s="13"/>
    </row>
    <row r="72" spans="7:77" s="64" customFormat="1" x14ac:dyDescent="0.35">
      <c r="G72" s="133"/>
      <c r="H72" s="133"/>
      <c r="I72" s="165"/>
      <c r="AN72" s="13"/>
      <c r="AO72" s="13"/>
      <c r="AP72" s="13"/>
      <c r="AQ72" s="13"/>
      <c r="AR72" s="13"/>
      <c r="AS72" s="13"/>
      <c r="AT72" s="13"/>
      <c r="AU72" s="13"/>
      <c r="AV72" s="13"/>
      <c r="AW72" s="13"/>
      <c r="AX72" s="13"/>
      <c r="AY72" s="13"/>
      <c r="AZ72" s="13"/>
      <c r="BA72" s="13"/>
      <c r="BB72" s="13"/>
      <c r="BC72" s="13"/>
      <c r="BD72" s="13"/>
      <c r="BE72" s="13"/>
      <c r="BF72" s="13"/>
      <c r="BG72" s="13"/>
      <c r="BH72" s="13"/>
      <c r="BI72" s="13"/>
      <c r="BJ72" s="13"/>
      <c r="BK72" s="13"/>
      <c r="BL72" s="13"/>
      <c r="BM72" s="13"/>
      <c r="BN72" s="13"/>
      <c r="BO72" s="13"/>
      <c r="BP72" s="13"/>
      <c r="BQ72" s="13"/>
      <c r="BR72" s="13"/>
      <c r="BS72" s="13"/>
      <c r="BT72" s="13"/>
      <c r="BU72" s="13"/>
      <c r="BV72" s="13"/>
      <c r="BW72" s="13"/>
      <c r="BX72" s="13"/>
      <c r="BY72" s="13"/>
    </row>
    <row r="73" spans="7:77" s="64" customFormat="1" x14ac:dyDescent="0.35">
      <c r="G73" s="133"/>
      <c r="H73" s="133"/>
      <c r="I73" s="165"/>
      <c r="AN73" s="13"/>
      <c r="AO73" s="13"/>
      <c r="AP73" s="13"/>
      <c r="AQ73" s="13"/>
      <c r="AR73" s="13"/>
      <c r="AS73" s="13"/>
      <c r="AT73" s="13"/>
      <c r="AU73" s="13"/>
      <c r="AV73" s="13"/>
      <c r="AW73" s="13"/>
      <c r="AX73" s="13"/>
      <c r="AY73" s="13"/>
      <c r="AZ73" s="13"/>
      <c r="BA73" s="13"/>
      <c r="BB73" s="13"/>
      <c r="BC73" s="13"/>
      <c r="BD73" s="13"/>
      <c r="BE73" s="13"/>
      <c r="BF73" s="13"/>
      <c r="BG73" s="13"/>
      <c r="BH73" s="13"/>
      <c r="BI73" s="13"/>
      <c r="BJ73" s="13"/>
      <c r="BK73" s="13"/>
      <c r="BL73" s="13"/>
      <c r="BM73" s="13"/>
      <c r="BN73" s="13"/>
      <c r="BO73" s="13"/>
      <c r="BP73" s="13"/>
      <c r="BQ73" s="13"/>
      <c r="BR73" s="13"/>
      <c r="BS73" s="13"/>
      <c r="BT73" s="13"/>
      <c r="BU73" s="13"/>
      <c r="BV73" s="13"/>
      <c r="BW73" s="13"/>
      <c r="BX73" s="13"/>
      <c r="BY73" s="13"/>
    </row>
    <row r="74" spans="7:77" s="64" customFormat="1" x14ac:dyDescent="0.35">
      <c r="G74" s="133"/>
      <c r="H74" s="133"/>
      <c r="I74" s="165"/>
      <c r="AN74" s="13"/>
      <c r="AO74" s="13"/>
      <c r="AP74" s="13"/>
      <c r="AQ74" s="13"/>
      <c r="AR74" s="13"/>
      <c r="AS74" s="13"/>
      <c r="AT74" s="13"/>
      <c r="AU74" s="13"/>
      <c r="AV74" s="13"/>
      <c r="AW74" s="13"/>
      <c r="AX74" s="13"/>
      <c r="AY74" s="13"/>
      <c r="AZ74" s="13"/>
      <c r="BA74" s="13"/>
      <c r="BB74" s="13"/>
      <c r="BC74" s="13"/>
      <c r="BD74" s="13"/>
      <c r="BE74" s="13"/>
      <c r="BF74" s="13"/>
      <c r="BG74" s="13"/>
      <c r="BH74" s="13"/>
      <c r="BI74" s="13"/>
      <c r="BJ74" s="13"/>
      <c r="BK74" s="13"/>
      <c r="BL74" s="13"/>
      <c r="BM74" s="13"/>
      <c r="BN74" s="13"/>
      <c r="BO74" s="13"/>
      <c r="BP74" s="13"/>
      <c r="BQ74" s="13"/>
      <c r="BR74" s="13"/>
      <c r="BS74" s="13"/>
      <c r="BT74" s="13"/>
      <c r="BU74" s="13"/>
      <c r="BV74" s="13"/>
      <c r="BW74" s="13"/>
      <c r="BX74" s="13"/>
      <c r="BY74" s="13"/>
    </row>
    <row r="75" spans="7:77" s="64" customFormat="1" x14ac:dyDescent="0.35">
      <c r="G75" s="133"/>
      <c r="H75" s="133"/>
      <c r="I75" s="165"/>
      <c r="AN75" s="13"/>
      <c r="AO75" s="13"/>
      <c r="AP75" s="13"/>
      <c r="AQ75" s="13"/>
      <c r="AR75" s="13"/>
      <c r="AS75" s="13"/>
      <c r="AT75" s="13"/>
      <c r="AU75" s="13"/>
      <c r="AV75" s="13"/>
      <c r="AW75" s="13"/>
      <c r="AX75" s="13"/>
      <c r="AY75" s="13"/>
      <c r="AZ75" s="13"/>
      <c r="BA75" s="13"/>
      <c r="BB75" s="13"/>
      <c r="BC75" s="13"/>
      <c r="BD75" s="13"/>
      <c r="BE75" s="13"/>
      <c r="BF75" s="13"/>
      <c r="BG75" s="13"/>
      <c r="BH75" s="13"/>
      <c r="BI75" s="13"/>
      <c r="BJ75" s="13"/>
      <c r="BK75" s="13"/>
      <c r="BL75" s="13"/>
      <c r="BM75" s="13"/>
      <c r="BN75" s="13"/>
      <c r="BO75" s="13"/>
      <c r="BP75" s="13"/>
      <c r="BQ75" s="13"/>
      <c r="BR75" s="13"/>
      <c r="BS75" s="13"/>
      <c r="BT75" s="13"/>
      <c r="BU75" s="13"/>
      <c r="BV75" s="13"/>
      <c r="BW75" s="13"/>
      <c r="BX75" s="13"/>
      <c r="BY75" s="13"/>
    </row>
    <row r="76" spans="7:77" s="64" customFormat="1" x14ac:dyDescent="0.35">
      <c r="G76" s="133"/>
      <c r="H76" s="133"/>
      <c r="I76" s="165"/>
      <c r="AN76" s="13"/>
      <c r="AO76" s="13"/>
      <c r="AP76" s="13"/>
      <c r="AQ76" s="13"/>
      <c r="AR76" s="13"/>
      <c r="AS76" s="13"/>
      <c r="AT76" s="13"/>
      <c r="AU76" s="13"/>
      <c r="AV76" s="13"/>
      <c r="AW76" s="13"/>
      <c r="AX76" s="13"/>
      <c r="AY76" s="13"/>
      <c r="AZ76" s="13"/>
      <c r="BA76" s="13"/>
      <c r="BB76" s="13"/>
      <c r="BC76" s="13"/>
      <c r="BD76" s="13"/>
      <c r="BE76" s="13"/>
      <c r="BF76" s="13"/>
      <c r="BG76" s="13"/>
      <c r="BH76" s="13"/>
      <c r="BI76" s="13"/>
      <c r="BJ76" s="13"/>
      <c r="BK76" s="13"/>
      <c r="BL76" s="13"/>
      <c r="BM76" s="13"/>
      <c r="BN76" s="13"/>
      <c r="BO76" s="13"/>
      <c r="BP76" s="13"/>
      <c r="BQ76" s="13"/>
      <c r="BR76" s="13"/>
      <c r="BS76" s="13"/>
      <c r="BT76" s="13"/>
      <c r="BU76" s="13"/>
      <c r="BV76" s="13"/>
      <c r="BW76" s="13"/>
      <c r="BX76" s="13"/>
      <c r="BY76" s="13"/>
    </row>
    <row r="77" spans="7:77" s="64" customFormat="1" x14ac:dyDescent="0.35">
      <c r="G77" s="133"/>
      <c r="H77" s="133"/>
      <c r="I77" s="165"/>
      <c r="AN77" s="13"/>
      <c r="AO77" s="13"/>
      <c r="AP77" s="13"/>
      <c r="AQ77" s="13"/>
      <c r="AR77" s="13"/>
      <c r="AS77" s="13"/>
      <c r="AT77" s="13"/>
      <c r="AU77" s="13"/>
      <c r="AV77" s="13"/>
      <c r="AW77" s="13"/>
      <c r="AX77" s="13"/>
      <c r="AY77" s="13"/>
      <c r="AZ77" s="13"/>
      <c r="BA77" s="13"/>
      <c r="BB77" s="13"/>
      <c r="BC77" s="13"/>
      <c r="BD77" s="13"/>
      <c r="BE77" s="13"/>
      <c r="BF77" s="13"/>
      <c r="BG77" s="13"/>
      <c r="BH77" s="13"/>
      <c r="BI77" s="13"/>
      <c r="BJ77" s="13"/>
      <c r="BK77" s="13"/>
      <c r="BL77" s="13"/>
      <c r="BM77" s="13"/>
      <c r="BN77" s="13"/>
      <c r="BO77" s="13"/>
      <c r="BP77" s="13"/>
      <c r="BQ77" s="13"/>
      <c r="BR77" s="13"/>
      <c r="BS77" s="13"/>
      <c r="BT77" s="13"/>
      <c r="BU77" s="13"/>
      <c r="BV77" s="13"/>
      <c r="BW77" s="13"/>
      <c r="BX77" s="13"/>
      <c r="BY77" s="13"/>
    </row>
    <row r="78" spans="7:77" s="64" customFormat="1" x14ac:dyDescent="0.35">
      <c r="G78" s="133"/>
      <c r="H78" s="133"/>
      <c r="I78" s="165"/>
      <c r="AN78" s="13"/>
      <c r="AO78" s="13"/>
      <c r="AP78" s="13"/>
      <c r="AQ78" s="13"/>
      <c r="AR78" s="13"/>
      <c r="AS78" s="13"/>
      <c r="AT78" s="13"/>
      <c r="AU78" s="13"/>
      <c r="AV78" s="13"/>
      <c r="AW78" s="13"/>
      <c r="AX78" s="13"/>
      <c r="AY78" s="13"/>
      <c r="AZ78" s="13"/>
      <c r="BA78" s="13"/>
      <c r="BB78" s="13"/>
      <c r="BC78" s="13"/>
      <c r="BD78" s="13"/>
      <c r="BE78" s="13"/>
      <c r="BF78" s="13"/>
      <c r="BG78" s="13"/>
      <c r="BH78" s="13"/>
      <c r="BI78" s="13"/>
      <c r="BJ78" s="13"/>
      <c r="BK78" s="13"/>
      <c r="BL78" s="13"/>
      <c r="BM78" s="13"/>
      <c r="BN78" s="13"/>
      <c r="BO78" s="13"/>
      <c r="BP78" s="13"/>
      <c r="BQ78" s="13"/>
      <c r="BR78" s="13"/>
      <c r="BS78" s="13"/>
      <c r="BT78" s="13"/>
      <c r="BU78" s="13"/>
      <c r="BV78" s="13"/>
      <c r="BW78" s="13"/>
      <c r="BX78" s="13"/>
      <c r="BY78" s="13"/>
    </row>
    <row r="79" spans="7:77" s="64" customFormat="1" x14ac:dyDescent="0.35">
      <c r="G79" s="133"/>
      <c r="H79" s="133"/>
      <c r="I79" s="165"/>
      <c r="AN79" s="13"/>
      <c r="AO79" s="13"/>
      <c r="AP79" s="13"/>
      <c r="AQ79" s="13"/>
      <c r="AR79" s="13"/>
      <c r="AS79" s="13"/>
      <c r="AT79" s="13"/>
      <c r="AU79" s="13"/>
      <c r="AV79" s="13"/>
      <c r="AW79" s="13"/>
      <c r="AX79" s="13"/>
      <c r="AY79" s="13"/>
      <c r="AZ79" s="13"/>
      <c r="BA79" s="13"/>
      <c r="BB79" s="13"/>
      <c r="BC79" s="13"/>
      <c r="BD79" s="13"/>
      <c r="BE79" s="13"/>
      <c r="BF79" s="13"/>
      <c r="BG79" s="13"/>
      <c r="BH79" s="13"/>
      <c r="BI79" s="13"/>
      <c r="BJ79" s="13"/>
      <c r="BK79" s="13"/>
      <c r="BL79" s="13"/>
      <c r="BM79" s="13"/>
      <c r="BN79" s="13"/>
      <c r="BO79" s="13"/>
      <c r="BP79" s="13"/>
      <c r="BQ79" s="13"/>
      <c r="BR79" s="13"/>
      <c r="BS79" s="13"/>
      <c r="BT79" s="13"/>
      <c r="BU79" s="13"/>
      <c r="BV79" s="13"/>
      <c r="BW79" s="13"/>
      <c r="BX79" s="13"/>
      <c r="BY79" s="13"/>
    </row>
    <row r="80" spans="7:77" s="64" customFormat="1" x14ac:dyDescent="0.35">
      <c r="G80" s="133"/>
      <c r="H80" s="133"/>
      <c r="I80" s="165"/>
      <c r="AN80" s="13"/>
      <c r="AO80" s="13"/>
      <c r="AP80" s="13"/>
      <c r="AQ80" s="13"/>
      <c r="AR80" s="13"/>
      <c r="AS80" s="13"/>
      <c r="AT80" s="13"/>
      <c r="AU80" s="13"/>
      <c r="AV80" s="13"/>
      <c r="AW80" s="13"/>
      <c r="AX80" s="13"/>
      <c r="AY80" s="13"/>
      <c r="AZ80" s="13"/>
      <c r="BA80" s="13"/>
      <c r="BB80" s="13"/>
      <c r="BC80" s="13"/>
      <c r="BD80" s="13"/>
      <c r="BE80" s="13"/>
      <c r="BF80" s="13"/>
      <c r="BG80" s="13"/>
      <c r="BH80" s="13"/>
      <c r="BI80" s="13"/>
      <c r="BJ80" s="13"/>
      <c r="BK80" s="13"/>
      <c r="BL80" s="13"/>
      <c r="BM80" s="13"/>
      <c r="BN80" s="13"/>
      <c r="BO80" s="13"/>
      <c r="BP80" s="13"/>
      <c r="BQ80" s="13"/>
      <c r="BR80" s="13"/>
      <c r="BS80" s="13"/>
      <c r="BT80" s="13"/>
      <c r="BU80" s="13"/>
      <c r="BV80" s="13"/>
      <c r="BW80" s="13"/>
      <c r="BX80" s="13"/>
      <c r="BY80" s="13"/>
    </row>
    <row r="81" spans="7:77" s="64" customFormat="1" x14ac:dyDescent="0.35">
      <c r="G81" s="133"/>
      <c r="H81" s="133"/>
      <c r="I81" s="165"/>
      <c r="AN81" s="13"/>
      <c r="AO81" s="13"/>
      <c r="AP81" s="13"/>
      <c r="AQ81" s="13"/>
      <c r="AR81" s="13"/>
      <c r="AS81" s="13"/>
      <c r="AT81" s="13"/>
      <c r="AU81" s="13"/>
      <c r="AV81" s="13"/>
      <c r="AW81" s="13"/>
      <c r="AX81" s="13"/>
      <c r="AY81" s="13"/>
      <c r="AZ81" s="13"/>
      <c r="BA81" s="13"/>
      <c r="BB81" s="13"/>
      <c r="BC81" s="13"/>
      <c r="BD81" s="13"/>
      <c r="BE81" s="13"/>
      <c r="BF81" s="13"/>
      <c r="BG81" s="13"/>
      <c r="BH81" s="13"/>
      <c r="BI81" s="13"/>
      <c r="BJ81" s="13"/>
      <c r="BK81" s="13"/>
      <c r="BL81" s="13"/>
      <c r="BM81" s="13"/>
      <c r="BN81" s="13"/>
      <c r="BO81" s="13"/>
      <c r="BP81" s="13"/>
      <c r="BQ81" s="13"/>
      <c r="BR81" s="13"/>
      <c r="BS81" s="13"/>
      <c r="BT81" s="13"/>
      <c r="BU81" s="13"/>
      <c r="BV81" s="13"/>
      <c r="BW81" s="13"/>
      <c r="BX81" s="13"/>
      <c r="BY81" s="13"/>
    </row>
    <row r="82" spans="7:77" s="64" customFormat="1" x14ac:dyDescent="0.35">
      <c r="G82" s="133"/>
      <c r="H82" s="133"/>
      <c r="I82" s="165"/>
      <c r="AN82" s="13"/>
      <c r="AO82" s="13"/>
      <c r="AP82" s="13"/>
      <c r="AQ82" s="13"/>
      <c r="AR82" s="13"/>
      <c r="AS82" s="13"/>
      <c r="AT82" s="13"/>
      <c r="AU82" s="13"/>
      <c r="AV82" s="13"/>
      <c r="AW82" s="13"/>
      <c r="AX82" s="13"/>
      <c r="AY82" s="13"/>
      <c r="AZ82" s="13"/>
      <c r="BA82" s="13"/>
      <c r="BB82" s="13"/>
      <c r="BC82" s="13"/>
      <c r="BD82" s="13"/>
      <c r="BE82" s="13"/>
      <c r="BF82" s="13"/>
      <c r="BG82" s="13"/>
      <c r="BH82" s="13"/>
      <c r="BI82" s="13"/>
      <c r="BJ82" s="13"/>
      <c r="BK82" s="13"/>
      <c r="BL82" s="13"/>
      <c r="BM82" s="13"/>
      <c r="BN82" s="13"/>
      <c r="BO82" s="13"/>
      <c r="BP82" s="13"/>
      <c r="BQ82" s="13"/>
      <c r="BR82" s="13"/>
      <c r="BS82" s="13"/>
      <c r="BT82" s="13"/>
      <c r="BU82" s="13"/>
      <c r="BV82" s="13"/>
      <c r="BW82" s="13"/>
      <c r="BX82" s="13"/>
      <c r="BY82" s="13"/>
    </row>
    <row r="83" spans="7:77" s="64" customFormat="1" x14ac:dyDescent="0.35">
      <c r="G83" s="133"/>
      <c r="H83" s="133"/>
      <c r="I83" s="165"/>
      <c r="AN83" s="13"/>
      <c r="AO83" s="13"/>
      <c r="AP83" s="13"/>
      <c r="AQ83" s="13"/>
      <c r="AR83" s="13"/>
      <c r="AS83" s="13"/>
      <c r="AT83" s="13"/>
      <c r="AU83" s="13"/>
      <c r="AV83" s="13"/>
      <c r="AW83" s="13"/>
      <c r="AX83" s="13"/>
      <c r="AY83" s="13"/>
      <c r="AZ83" s="13"/>
      <c r="BA83" s="13"/>
      <c r="BB83" s="13"/>
      <c r="BC83" s="13"/>
      <c r="BD83" s="13"/>
      <c r="BE83" s="13"/>
      <c r="BF83" s="13"/>
      <c r="BG83" s="13"/>
      <c r="BH83" s="13"/>
      <c r="BI83" s="13"/>
      <c r="BJ83" s="13"/>
      <c r="BK83" s="13"/>
      <c r="BL83" s="13"/>
      <c r="BM83" s="13"/>
      <c r="BN83" s="13"/>
      <c r="BO83" s="13"/>
      <c r="BP83" s="13"/>
      <c r="BQ83" s="13"/>
      <c r="BR83" s="13"/>
      <c r="BS83" s="13"/>
      <c r="BT83" s="13"/>
      <c r="BU83" s="13"/>
      <c r="BV83" s="13"/>
      <c r="BW83" s="13"/>
      <c r="BX83" s="13"/>
      <c r="BY83" s="13"/>
    </row>
    <row r="84" spans="7:77" s="64" customFormat="1" x14ac:dyDescent="0.35">
      <c r="G84" s="133"/>
      <c r="H84" s="133"/>
      <c r="I84" s="165"/>
      <c r="AN84" s="13"/>
      <c r="AO84" s="13"/>
      <c r="AP84" s="13"/>
      <c r="AQ84" s="13"/>
      <c r="AR84" s="13"/>
      <c r="AS84" s="13"/>
      <c r="AT84" s="13"/>
      <c r="AU84" s="13"/>
      <c r="AV84" s="13"/>
      <c r="AW84" s="13"/>
      <c r="AX84" s="13"/>
      <c r="AY84" s="13"/>
      <c r="AZ84" s="13"/>
      <c r="BA84" s="13"/>
      <c r="BB84" s="13"/>
      <c r="BC84" s="13"/>
      <c r="BD84" s="13"/>
      <c r="BE84" s="13"/>
      <c r="BF84" s="13"/>
      <c r="BG84" s="13"/>
      <c r="BH84" s="13"/>
      <c r="BI84" s="13"/>
      <c r="BJ84" s="13"/>
      <c r="BK84" s="13"/>
      <c r="BL84" s="13"/>
      <c r="BM84" s="13"/>
      <c r="BN84" s="13"/>
      <c r="BO84" s="13"/>
      <c r="BP84" s="13"/>
      <c r="BQ84" s="13"/>
      <c r="BR84" s="13"/>
      <c r="BS84" s="13"/>
      <c r="BT84" s="13"/>
      <c r="BU84" s="13"/>
      <c r="BV84" s="13"/>
      <c r="BW84" s="13"/>
      <c r="BX84" s="13"/>
      <c r="BY84" s="13"/>
    </row>
    <row r="85" spans="7:77" s="64" customFormat="1" x14ac:dyDescent="0.35">
      <c r="G85" s="133"/>
      <c r="H85" s="133"/>
      <c r="I85" s="165"/>
      <c r="AN85" s="13"/>
      <c r="AO85" s="13"/>
      <c r="AP85" s="13"/>
      <c r="AQ85" s="13"/>
      <c r="AR85" s="13"/>
      <c r="AS85" s="13"/>
      <c r="AT85" s="13"/>
      <c r="AU85" s="13"/>
      <c r="AV85" s="13"/>
      <c r="AW85" s="13"/>
      <c r="AX85" s="13"/>
      <c r="AY85" s="13"/>
      <c r="AZ85" s="13"/>
      <c r="BA85" s="13"/>
      <c r="BB85" s="13"/>
      <c r="BC85" s="13"/>
      <c r="BD85" s="13"/>
      <c r="BE85" s="13"/>
      <c r="BF85" s="13"/>
      <c r="BG85" s="13"/>
      <c r="BH85" s="13"/>
      <c r="BI85" s="13"/>
      <c r="BJ85" s="13"/>
      <c r="BK85" s="13"/>
      <c r="BL85" s="13"/>
      <c r="BM85" s="13"/>
      <c r="BN85" s="13"/>
      <c r="BO85" s="13"/>
      <c r="BP85" s="13"/>
      <c r="BQ85" s="13"/>
      <c r="BR85" s="13"/>
      <c r="BS85" s="13"/>
      <c r="BT85" s="13"/>
      <c r="BU85" s="13"/>
      <c r="BV85" s="13"/>
      <c r="BW85" s="13"/>
      <c r="BX85" s="13"/>
      <c r="BY85" s="13"/>
    </row>
    <row r="86" spans="7:77" s="64" customFormat="1" x14ac:dyDescent="0.35">
      <c r="G86" s="133"/>
      <c r="H86" s="133"/>
      <c r="I86" s="165"/>
      <c r="AN86" s="13"/>
      <c r="AO86" s="13"/>
      <c r="AP86" s="13"/>
      <c r="AQ86" s="13"/>
      <c r="AR86" s="13"/>
      <c r="AS86" s="13"/>
      <c r="AT86" s="13"/>
      <c r="AU86" s="13"/>
      <c r="AV86" s="13"/>
      <c r="AW86" s="13"/>
      <c r="AX86" s="13"/>
      <c r="AY86" s="13"/>
      <c r="AZ86" s="13"/>
      <c r="BA86" s="13"/>
      <c r="BB86" s="13"/>
      <c r="BC86" s="13"/>
      <c r="BD86" s="13"/>
      <c r="BE86" s="13"/>
      <c r="BF86" s="13"/>
      <c r="BG86" s="13"/>
      <c r="BH86" s="13"/>
      <c r="BI86" s="13"/>
      <c r="BJ86" s="13"/>
      <c r="BK86" s="13"/>
      <c r="BL86" s="13"/>
      <c r="BM86" s="13"/>
      <c r="BN86" s="13"/>
      <c r="BO86" s="13"/>
      <c r="BP86" s="13"/>
      <c r="BQ86" s="13"/>
      <c r="BR86" s="13"/>
      <c r="BS86" s="13"/>
      <c r="BT86" s="13"/>
      <c r="BU86" s="13"/>
      <c r="BV86" s="13"/>
      <c r="BW86" s="13"/>
      <c r="BX86" s="13"/>
      <c r="BY86" s="13"/>
    </row>
    <row r="87" spans="7:77" s="64" customFormat="1" x14ac:dyDescent="0.35">
      <c r="G87" s="133"/>
      <c r="H87" s="133"/>
      <c r="I87" s="165"/>
      <c r="AN87" s="13"/>
      <c r="AO87" s="13"/>
      <c r="AP87" s="13"/>
      <c r="AQ87" s="13"/>
      <c r="AR87" s="13"/>
      <c r="AS87" s="13"/>
      <c r="AT87" s="13"/>
      <c r="AU87" s="13"/>
      <c r="AV87" s="13"/>
      <c r="AW87" s="13"/>
      <c r="AX87" s="13"/>
      <c r="AY87" s="13"/>
      <c r="AZ87" s="13"/>
      <c r="BA87" s="13"/>
      <c r="BB87" s="13"/>
      <c r="BC87" s="13"/>
      <c r="BD87" s="13"/>
      <c r="BE87" s="13"/>
      <c r="BF87" s="13"/>
      <c r="BG87" s="13"/>
      <c r="BH87" s="13"/>
      <c r="BI87" s="13"/>
      <c r="BJ87" s="13"/>
      <c r="BK87" s="13"/>
      <c r="BL87" s="13"/>
      <c r="BM87" s="13"/>
      <c r="BN87" s="13"/>
      <c r="BO87" s="13"/>
      <c r="BP87" s="13"/>
      <c r="BQ87" s="13"/>
      <c r="BR87" s="13"/>
      <c r="BS87" s="13"/>
      <c r="BT87" s="13"/>
      <c r="BU87" s="13"/>
      <c r="BV87" s="13"/>
      <c r="BW87" s="13"/>
      <c r="BX87" s="13"/>
      <c r="BY87" s="13"/>
    </row>
    <row r="88" spans="7:77" s="64" customFormat="1" x14ac:dyDescent="0.35">
      <c r="G88" s="133"/>
      <c r="H88" s="133"/>
      <c r="I88" s="165"/>
      <c r="AN88" s="13"/>
      <c r="AO88" s="13"/>
      <c r="AP88" s="13"/>
      <c r="AQ88" s="13"/>
      <c r="AR88" s="13"/>
      <c r="AS88" s="13"/>
      <c r="AT88" s="13"/>
      <c r="AU88" s="13"/>
      <c r="AV88" s="13"/>
      <c r="AW88" s="13"/>
      <c r="AX88" s="13"/>
      <c r="AY88" s="13"/>
      <c r="AZ88" s="13"/>
      <c r="BA88" s="13"/>
      <c r="BB88" s="13"/>
      <c r="BC88" s="13"/>
      <c r="BD88" s="13"/>
      <c r="BE88" s="13"/>
      <c r="BF88" s="13"/>
      <c r="BG88" s="13"/>
      <c r="BH88" s="13"/>
      <c r="BI88" s="13"/>
      <c r="BJ88" s="13"/>
      <c r="BK88" s="13"/>
      <c r="BL88" s="13"/>
      <c r="BM88" s="13"/>
      <c r="BN88" s="13"/>
      <c r="BO88" s="13"/>
      <c r="BP88" s="13"/>
      <c r="BQ88" s="13"/>
      <c r="BR88" s="13"/>
      <c r="BS88" s="13"/>
      <c r="BT88" s="13"/>
      <c r="BU88" s="13"/>
      <c r="BV88" s="13"/>
      <c r="BW88" s="13"/>
      <c r="BX88" s="13"/>
      <c r="BY88" s="13"/>
    </row>
    <row r="89" spans="7:77" s="64" customFormat="1" x14ac:dyDescent="0.35">
      <c r="G89" s="133"/>
      <c r="H89" s="133"/>
      <c r="I89" s="165"/>
      <c r="AN89" s="13"/>
      <c r="AO89" s="13"/>
      <c r="AP89" s="13"/>
      <c r="AQ89" s="13"/>
      <c r="AR89" s="13"/>
      <c r="AS89" s="13"/>
      <c r="AT89" s="13"/>
      <c r="AU89" s="13"/>
      <c r="AV89" s="13"/>
      <c r="AW89" s="13"/>
      <c r="AX89" s="13"/>
      <c r="AY89" s="13"/>
      <c r="AZ89" s="13"/>
      <c r="BA89" s="13"/>
      <c r="BB89" s="13"/>
      <c r="BC89" s="13"/>
      <c r="BD89" s="13"/>
      <c r="BE89" s="13"/>
      <c r="BF89" s="13"/>
      <c r="BG89" s="13"/>
      <c r="BH89" s="13"/>
      <c r="BI89" s="13"/>
      <c r="BJ89" s="13"/>
      <c r="BK89" s="13"/>
      <c r="BL89" s="13"/>
      <c r="BM89" s="13"/>
      <c r="BN89" s="13"/>
      <c r="BO89" s="13"/>
      <c r="BP89" s="13"/>
      <c r="BQ89" s="13"/>
      <c r="BR89" s="13"/>
      <c r="BS89" s="13"/>
      <c r="BT89" s="13"/>
      <c r="BU89" s="13"/>
      <c r="BV89" s="13"/>
      <c r="BW89" s="13"/>
      <c r="BX89" s="13"/>
      <c r="BY89" s="13"/>
    </row>
    <row r="90" spans="7:77" s="64" customFormat="1" x14ac:dyDescent="0.35">
      <c r="G90" s="133"/>
      <c r="H90" s="133"/>
      <c r="I90" s="165"/>
      <c r="AN90" s="13"/>
      <c r="AO90" s="13"/>
      <c r="AP90" s="13"/>
      <c r="AQ90" s="13"/>
      <c r="AR90" s="13"/>
      <c r="AS90" s="13"/>
      <c r="AT90" s="13"/>
      <c r="AU90" s="13"/>
      <c r="AV90" s="13"/>
      <c r="AW90" s="13"/>
      <c r="AX90" s="13"/>
      <c r="AY90" s="13"/>
      <c r="AZ90" s="13"/>
      <c r="BA90" s="13"/>
      <c r="BB90" s="13"/>
      <c r="BC90" s="13"/>
      <c r="BD90" s="13"/>
      <c r="BE90" s="13"/>
      <c r="BF90" s="13"/>
      <c r="BG90" s="13"/>
      <c r="BH90" s="13"/>
      <c r="BI90" s="13"/>
      <c r="BJ90" s="13"/>
      <c r="BK90" s="13"/>
      <c r="BL90" s="13"/>
      <c r="BM90" s="13"/>
      <c r="BN90" s="13"/>
      <c r="BO90" s="13"/>
      <c r="BP90" s="13"/>
      <c r="BQ90" s="13"/>
      <c r="BR90" s="13"/>
      <c r="BS90" s="13"/>
      <c r="BT90" s="13"/>
      <c r="BU90" s="13"/>
      <c r="BV90" s="13"/>
      <c r="BW90" s="13"/>
      <c r="BX90" s="13"/>
      <c r="BY90" s="13"/>
    </row>
    <row r="91" spans="7:77" s="64" customFormat="1" x14ac:dyDescent="0.35">
      <c r="G91" s="133"/>
      <c r="H91" s="133"/>
      <c r="I91" s="165"/>
      <c r="AN91" s="13"/>
      <c r="AO91" s="13"/>
      <c r="AP91" s="13"/>
      <c r="AQ91" s="13"/>
      <c r="AR91" s="13"/>
      <c r="AS91" s="13"/>
      <c r="AT91" s="13"/>
      <c r="AU91" s="13"/>
      <c r="AV91" s="13"/>
      <c r="AW91" s="13"/>
      <c r="AX91" s="13"/>
      <c r="AY91" s="13"/>
      <c r="AZ91" s="13"/>
      <c r="BA91" s="13"/>
      <c r="BB91" s="13"/>
      <c r="BC91" s="13"/>
      <c r="BD91" s="13"/>
      <c r="BE91" s="13"/>
      <c r="BF91" s="13"/>
      <c r="BG91" s="13"/>
      <c r="BH91" s="13"/>
      <c r="BI91" s="13"/>
      <c r="BJ91" s="13"/>
      <c r="BK91" s="13"/>
      <c r="BL91" s="13"/>
      <c r="BM91" s="13"/>
      <c r="BN91" s="13"/>
      <c r="BO91" s="13"/>
      <c r="BP91" s="13"/>
      <c r="BQ91" s="13"/>
      <c r="BR91" s="13"/>
      <c r="BS91" s="13"/>
      <c r="BT91" s="13"/>
      <c r="BU91" s="13"/>
      <c r="BV91" s="13"/>
      <c r="BW91" s="13"/>
      <c r="BX91" s="13"/>
      <c r="BY91" s="13"/>
    </row>
    <row r="92" spans="7:77" s="64" customFormat="1" x14ac:dyDescent="0.35">
      <c r="G92" s="133"/>
      <c r="H92" s="133"/>
      <c r="I92" s="165"/>
      <c r="AN92" s="13"/>
      <c r="AO92" s="13"/>
      <c r="AP92" s="13"/>
      <c r="AQ92" s="13"/>
      <c r="AR92" s="13"/>
      <c r="AS92" s="13"/>
      <c r="AT92" s="13"/>
      <c r="AU92" s="13"/>
      <c r="AV92" s="13"/>
      <c r="AW92" s="13"/>
      <c r="AX92" s="13"/>
      <c r="AY92" s="13"/>
      <c r="AZ92" s="13"/>
      <c r="BA92" s="13"/>
      <c r="BB92" s="13"/>
      <c r="BC92" s="13"/>
      <c r="BD92" s="13"/>
      <c r="BE92" s="13"/>
      <c r="BF92" s="13"/>
      <c r="BG92" s="13"/>
      <c r="BH92" s="13"/>
      <c r="BI92" s="13"/>
      <c r="BJ92" s="13"/>
      <c r="BK92" s="13"/>
      <c r="BL92" s="13"/>
      <c r="BM92" s="13"/>
      <c r="BN92" s="13"/>
      <c r="BO92" s="13"/>
      <c r="BP92" s="13"/>
      <c r="BQ92" s="13"/>
      <c r="BR92" s="13"/>
      <c r="BS92" s="13"/>
      <c r="BT92" s="13"/>
      <c r="BU92" s="13"/>
      <c r="BV92" s="13"/>
      <c r="BW92" s="13"/>
      <c r="BX92" s="13"/>
      <c r="BY92" s="13"/>
    </row>
    <row r="93" spans="7:77" s="64" customFormat="1" x14ac:dyDescent="0.35">
      <c r="G93" s="133"/>
      <c r="H93" s="133"/>
      <c r="I93" s="165"/>
      <c r="AN93" s="13"/>
      <c r="AO93" s="13"/>
      <c r="AP93" s="13"/>
      <c r="AQ93" s="13"/>
      <c r="AR93" s="13"/>
      <c r="AS93" s="13"/>
      <c r="AT93" s="13"/>
      <c r="AU93" s="13"/>
      <c r="AV93" s="13"/>
      <c r="AW93" s="13"/>
      <c r="AX93" s="13"/>
      <c r="AY93" s="13"/>
      <c r="AZ93" s="13"/>
      <c r="BA93" s="13"/>
      <c r="BB93" s="13"/>
      <c r="BC93" s="13"/>
      <c r="BD93" s="13"/>
      <c r="BE93" s="13"/>
      <c r="BF93" s="13"/>
      <c r="BG93" s="13"/>
      <c r="BH93" s="13"/>
      <c r="BI93" s="13"/>
      <c r="BJ93" s="13"/>
      <c r="BK93" s="13"/>
      <c r="BL93" s="13"/>
      <c r="BM93" s="13"/>
      <c r="BN93" s="13"/>
      <c r="BO93" s="13"/>
      <c r="BP93" s="13"/>
      <c r="BQ93" s="13"/>
      <c r="BR93" s="13"/>
      <c r="BS93" s="13"/>
      <c r="BT93" s="13"/>
      <c r="BU93" s="13"/>
      <c r="BV93" s="13"/>
      <c r="BW93" s="13"/>
      <c r="BX93" s="13"/>
      <c r="BY93" s="13"/>
    </row>
    <row r="94" spans="7:77" s="64" customFormat="1" x14ac:dyDescent="0.35">
      <c r="G94" s="133"/>
      <c r="H94" s="133"/>
      <c r="I94" s="165"/>
      <c r="AN94" s="13"/>
      <c r="AO94" s="13"/>
      <c r="AP94" s="13"/>
      <c r="AQ94" s="13"/>
      <c r="AR94" s="13"/>
      <c r="AS94" s="13"/>
      <c r="AT94" s="13"/>
      <c r="AU94" s="13"/>
      <c r="AV94" s="13"/>
      <c r="AW94" s="13"/>
      <c r="AX94" s="13"/>
      <c r="AY94" s="13"/>
      <c r="AZ94" s="13"/>
      <c r="BA94" s="13"/>
      <c r="BB94" s="13"/>
      <c r="BC94" s="13"/>
      <c r="BD94" s="13"/>
      <c r="BE94" s="13"/>
      <c r="BF94" s="13"/>
      <c r="BG94" s="13"/>
      <c r="BH94" s="13"/>
      <c r="BI94" s="13"/>
      <c r="BJ94" s="13"/>
      <c r="BK94" s="13"/>
      <c r="BL94" s="13"/>
      <c r="BM94" s="13"/>
      <c r="BN94" s="13"/>
      <c r="BO94" s="13"/>
      <c r="BP94" s="13"/>
      <c r="BQ94" s="13"/>
      <c r="BR94" s="13"/>
      <c r="BS94" s="13"/>
      <c r="BT94" s="13"/>
      <c r="BU94" s="13"/>
      <c r="BV94" s="13"/>
      <c r="BW94" s="13"/>
      <c r="BX94" s="13"/>
      <c r="BY94" s="13"/>
    </row>
    <row r="95" spans="7:77" s="64" customFormat="1" x14ac:dyDescent="0.35">
      <c r="G95" s="133"/>
      <c r="H95" s="133"/>
      <c r="I95" s="165"/>
      <c r="AN95" s="13"/>
      <c r="AO95" s="13"/>
      <c r="AP95" s="13"/>
      <c r="AQ95" s="13"/>
      <c r="AR95" s="13"/>
      <c r="AS95" s="13"/>
      <c r="AT95" s="13"/>
      <c r="AU95" s="13"/>
      <c r="AV95" s="13"/>
      <c r="AW95" s="13"/>
      <c r="AX95" s="13"/>
      <c r="AY95" s="13"/>
      <c r="AZ95" s="13"/>
      <c r="BA95" s="13"/>
      <c r="BB95" s="13"/>
      <c r="BC95" s="13"/>
      <c r="BD95" s="13"/>
      <c r="BE95" s="13"/>
      <c r="BF95" s="13"/>
      <c r="BG95" s="13"/>
      <c r="BH95" s="13"/>
      <c r="BI95" s="13"/>
      <c r="BJ95" s="13"/>
      <c r="BK95" s="13"/>
      <c r="BL95" s="13"/>
      <c r="BM95" s="13"/>
      <c r="BN95" s="13"/>
      <c r="BO95" s="13"/>
      <c r="BP95" s="13"/>
      <c r="BQ95" s="13"/>
      <c r="BR95" s="13"/>
      <c r="BS95" s="13"/>
      <c r="BT95" s="13"/>
      <c r="BU95" s="13"/>
      <c r="BV95" s="13"/>
      <c r="BW95" s="13"/>
      <c r="BX95" s="13"/>
      <c r="BY95" s="13"/>
    </row>
    <row r="96" spans="7:77" s="64" customFormat="1" x14ac:dyDescent="0.35">
      <c r="G96" s="133"/>
      <c r="H96" s="133"/>
      <c r="I96" s="165"/>
      <c r="AN96" s="13"/>
      <c r="AO96" s="13"/>
      <c r="AP96" s="13"/>
      <c r="AQ96" s="13"/>
      <c r="AR96" s="13"/>
      <c r="AS96" s="13"/>
      <c r="AT96" s="13"/>
      <c r="AU96" s="13"/>
      <c r="AV96" s="13"/>
      <c r="AW96" s="13"/>
      <c r="AX96" s="13"/>
      <c r="AY96" s="13"/>
      <c r="AZ96" s="13"/>
      <c r="BA96" s="13"/>
      <c r="BB96" s="13"/>
      <c r="BC96" s="13"/>
      <c r="BD96" s="13"/>
      <c r="BE96" s="13"/>
      <c r="BF96" s="13"/>
      <c r="BG96" s="13"/>
      <c r="BH96" s="13"/>
      <c r="BI96" s="13"/>
      <c r="BJ96" s="13"/>
      <c r="BK96" s="13"/>
      <c r="BL96" s="13"/>
      <c r="BM96" s="13"/>
      <c r="BN96" s="13"/>
      <c r="BO96" s="13"/>
      <c r="BP96" s="13"/>
      <c r="BQ96" s="13"/>
      <c r="BR96" s="13"/>
      <c r="BS96" s="13"/>
      <c r="BT96" s="13"/>
      <c r="BU96" s="13"/>
      <c r="BV96" s="13"/>
      <c r="BW96" s="13"/>
      <c r="BX96" s="13"/>
      <c r="BY96" s="13"/>
    </row>
    <row r="97" spans="7:77" s="64" customFormat="1" x14ac:dyDescent="0.35">
      <c r="G97" s="133"/>
      <c r="H97" s="133"/>
      <c r="I97" s="165"/>
      <c r="AN97" s="13"/>
      <c r="AO97" s="13"/>
      <c r="AP97" s="13"/>
      <c r="AQ97" s="13"/>
      <c r="AR97" s="13"/>
      <c r="AS97" s="13"/>
      <c r="AT97" s="13"/>
      <c r="AU97" s="13"/>
      <c r="AV97" s="13"/>
      <c r="AW97" s="13"/>
      <c r="AX97" s="13"/>
      <c r="AY97" s="13"/>
      <c r="AZ97" s="13"/>
      <c r="BA97" s="13"/>
      <c r="BB97" s="13"/>
      <c r="BC97" s="13"/>
      <c r="BD97" s="13"/>
      <c r="BE97" s="13"/>
      <c r="BF97" s="13"/>
      <c r="BG97" s="13"/>
      <c r="BH97" s="13"/>
      <c r="BI97" s="13"/>
      <c r="BJ97" s="13"/>
      <c r="BK97" s="13"/>
      <c r="BL97" s="13"/>
      <c r="BM97" s="13"/>
      <c r="BN97" s="13"/>
      <c r="BO97" s="13"/>
      <c r="BP97" s="13"/>
      <c r="BQ97" s="13"/>
      <c r="BR97" s="13"/>
      <c r="BS97" s="13"/>
      <c r="BT97" s="13"/>
      <c r="BU97" s="13"/>
      <c r="BV97" s="13"/>
      <c r="BW97" s="13"/>
      <c r="BX97" s="13"/>
      <c r="BY97" s="13"/>
    </row>
    <row r="98" spans="7:77" s="64" customFormat="1" x14ac:dyDescent="0.35">
      <c r="G98" s="133"/>
      <c r="H98" s="133"/>
      <c r="I98" s="165"/>
      <c r="AN98" s="13"/>
      <c r="AO98" s="13"/>
      <c r="AP98" s="13"/>
      <c r="AQ98" s="13"/>
      <c r="AR98" s="13"/>
      <c r="AS98" s="13"/>
      <c r="AT98" s="13"/>
      <c r="AU98" s="13"/>
      <c r="AV98" s="13"/>
      <c r="AW98" s="13"/>
      <c r="AX98" s="13"/>
      <c r="AY98" s="13"/>
      <c r="AZ98" s="13"/>
      <c r="BA98" s="13"/>
      <c r="BB98" s="13"/>
      <c r="BC98" s="13"/>
      <c r="BD98" s="13"/>
      <c r="BE98" s="13"/>
      <c r="BF98" s="13"/>
      <c r="BG98" s="13"/>
      <c r="BH98" s="13"/>
      <c r="BI98" s="13"/>
      <c r="BJ98" s="13"/>
      <c r="BK98" s="13"/>
      <c r="BL98" s="13"/>
      <c r="BM98" s="13"/>
      <c r="BN98" s="13"/>
      <c r="BO98" s="13"/>
      <c r="BP98" s="13"/>
      <c r="BQ98" s="13"/>
      <c r="BR98" s="13"/>
      <c r="BS98" s="13"/>
      <c r="BT98" s="13"/>
      <c r="BU98" s="13"/>
      <c r="BV98" s="13"/>
      <c r="BW98" s="13"/>
      <c r="BX98" s="13"/>
      <c r="BY98" s="13"/>
    </row>
    <row r="99" spans="7:77" s="64" customFormat="1" x14ac:dyDescent="0.35">
      <c r="G99" s="133"/>
      <c r="H99" s="133"/>
      <c r="I99" s="165"/>
      <c r="AN99" s="13"/>
      <c r="AO99" s="13"/>
      <c r="AP99" s="13"/>
      <c r="AQ99" s="13"/>
      <c r="AR99" s="13"/>
      <c r="AS99" s="13"/>
      <c r="AT99" s="13"/>
      <c r="AU99" s="13"/>
      <c r="AV99" s="13"/>
      <c r="AW99" s="13"/>
      <c r="AX99" s="13"/>
      <c r="AY99" s="13"/>
      <c r="AZ99" s="13"/>
      <c r="BA99" s="13"/>
      <c r="BB99" s="13"/>
      <c r="BC99" s="13"/>
      <c r="BD99" s="13"/>
      <c r="BE99" s="13"/>
      <c r="BF99" s="13"/>
      <c r="BG99" s="13"/>
      <c r="BH99" s="13"/>
      <c r="BI99" s="13"/>
      <c r="BJ99" s="13"/>
      <c r="BK99" s="13"/>
      <c r="BL99" s="13"/>
      <c r="BM99" s="13"/>
      <c r="BN99" s="13"/>
      <c r="BO99" s="13"/>
      <c r="BP99" s="13"/>
      <c r="BQ99" s="13"/>
      <c r="BR99" s="13"/>
      <c r="BS99" s="13"/>
      <c r="BT99" s="13"/>
      <c r="BU99" s="13"/>
      <c r="BV99" s="13"/>
      <c r="BW99" s="13"/>
      <c r="BX99" s="13"/>
      <c r="BY99" s="13"/>
    </row>
    <row r="100" spans="7:77" s="64" customFormat="1" x14ac:dyDescent="0.35">
      <c r="G100" s="133"/>
      <c r="H100" s="133"/>
      <c r="I100" s="165"/>
      <c r="AN100" s="13"/>
      <c r="AO100" s="13"/>
      <c r="AP100" s="13"/>
      <c r="AQ100" s="13"/>
      <c r="AR100" s="13"/>
      <c r="AS100" s="13"/>
      <c r="AT100" s="13"/>
      <c r="AU100" s="13"/>
      <c r="AV100" s="13"/>
      <c r="AW100" s="13"/>
      <c r="AX100" s="13"/>
      <c r="AY100" s="13"/>
      <c r="AZ100" s="13"/>
      <c r="BA100" s="13"/>
      <c r="BB100" s="13"/>
      <c r="BC100" s="13"/>
      <c r="BD100" s="13"/>
      <c r="BE100" s="13"/>
      <c r="BF100" s="13"/>
      <c r="BG100" s="13"/>
      <c r="BH100" s="13"/>
      <c r="BI100" s="13"/>
      <c r="BJ100" s="13"/>
      <c r="BK100" s="13"/>
      <c r="BL100" s="13"/>
      <c r="BM100" s="13"/>
      <c r="BN100" s="13"/>
      <c r="BO100" s="13"/>
      <c r="BP100" s="13"/>
      <c r="BQ100" s="13"/>
      <c r="BR100" s="13"/>
      <c r="BS100" s="13"/>
      <c r="BT100" s="13"/>
      <c r="BU100" s="13"/>
      <c r="BV100" s="13"/>
      <c r="BW100" s="13"/>
      <c r="BX100" s="13"/>
      <c r="BY100" s="13"/>
    </row>
    <row r="101" spans="7:77" s="64" customFormat="1" x14ac:dyDescent="0.35">
      <c r="G101" s="133"/>
      <c r="H101" s="133"/>
      <c r="I101" s="165"/>
      <c r="AN101" s="13"/>
      <c r="AO101" s="13"/>
      <c r="AP101" s="13"/>
      <c r="AQ101" s="13"/>
      <c r="AR101" s="13"/>
      <c r="AS101" s="13"/>
      <c r="AT101" s="13"/>
      <c r="AU101" s="13"/>
      <c r="AV101" s="13"/>
      <c r="AW101" s="13"/>
      <c r="AX101" s="13"/>
      <c r="AY101" s="13"/>
      <c r="AZ101" s="13"/>
      <c r="BA101" s="13"/>
      <c r="BB101" s="13"/>
      <c r="BC101" s="13"/>
      <c r="BD101" s="13"/>
      <c r="BE101" s="13"/>
      <c r="BF101" s="13"/>
      <c r="BG101" s="13"/>
      <c r="BH101" s="13"/>
      <c r="BI101" s="13"/>
      <c r="BJ101" s="13"/>
      <c r="BK101" s="13"/>
      <c r="BL101" s="13"/>
      <c r="BM101" s="13"/>
      <c r="BN101" s="13"/>
      <c r="BO101" s="13"/>
      <c r="BP101" s="13"/>
      <c r="BQ101" s="13"/>
      <c r="BR101" s="13"/>
      <c r="BS101" s="13"/>
      <c r="BT101" s="13"/>
      <c r="BU101" s="13"/>
      <c r="BV101" s="13"/>
      <c r="BW101" s="13"/>
      <c r="BX101" s="13"/>
      <c r="BY101" s="13"/>
    </row>
    <row r="102" spans="7:77" s="64" customFormat="1" x14ac:dyDescent="0.35">
      <c r="G102" s="133"/>
      <c r="H102" s="133"/>
      <c r="I102" s="165"/>
      <c r="AN102" s="13"/>
      <c r="AO102" s="13"/>
      <c r="AP102" s="13"/>
      <c r="AQ102" s="13"/>
      <c r="AR102" s="13"/>
      <c r="AS102" s="13"/>
      <c r="AT102" s="13"/>
      <c r="AU102" s="13"/>
      <c r="AV102" s="13"/>
      <c r="AW102" s="13"/>
      <c r="AX102" s="13"/>
      <c r="AY102" s="13"/>
      <c r="AZ102" s="13"/>
      <c r="BA102" s="13"/>
      <c r="BB102" s="13"/>
      <c r="BC102" s="13"/>
      <c r="BD102" s="13"/>
      <c r="BE102" s="13"/>
      <c r="BF102" s="13"/>
      <c r="BG102" s="13"/>
      <c r="BH102" s="13"/>
      <c r="BI102" s="13"/>
      <c r="BJ102" s="13"/>
      <c r="BK102" s="13"/>
      <c r="BL102" s="13"/>
      <c r="BM102" s="13"/>
      <c r="BN102" s="13"/>
      <c r="BO102" s="13"/>
      <c r="BP102" s="13"/>
      <c r="BQ102" s="13"/>
      <c r="BR102" s="13"/>
      <c r="BS102" s="13"/>
      <c r="BT102" s="13"/>
      <c r="BU102" s="13"/>
      <c r="BV102" s="13"/>
      <c r="BW102" s="13"/>
      <c r="BX102" s="13"/>
      <c r="BY102" s="13"/>
    </row>
    <row r="103" spans="7:77" s="64" customFormat="1" x14ac:dyDescent="0.35">
      <c r="G103" s="133"/>
      <c r="H103" s="133"/>
      <c r="I103" s="165"/>
      <c r="AN103" s="13"/>
      <c r="AO103" s="13"/>
      <c r="AP103" s="13"/>
      <c r="AQ103" s="13"/>
      <c r="AR103" s="13"/>
      <c r="AS103" s="13"/>
      <c r="AT103" s="13"/>
      <c r="AU103" s="13"/>
      <c r="AV103" s="13"/>
      <c r="AW103" s="13"/>
      <c r="AX103" s="13"/>
      <c r="AY103" s="13"/>
      <c r="AZ103" s="13"/>
      <c r="BA103" s="13"/>
      <c r="BB103" s="13"/>
      <c r="BC103" s="13"/>
      <c r="BD103" s="13"/>
      <c r="BE103" s="13"/>
      <c r="BF103" s="13"/>
      <c r="BG103" s="13"/>
      <c r="BH103" s="13"/>
      <c r="BI103" s="13"/>
      <c r="BJ103" s="13"/>
      <c r="BK103" s="13"/>
      <c r="BL103" s="13"/>
      <c r="BM103" s="13"/>
      <c r="BN103" s="13"/>
      <c r="BO103" s="13"/>
      <c r="BP103" s="13"/>
      <c r="BQ103" s="13"/>
      <c r="BR103" s="13"/>
      <c r="BS103" s="13"/>
      <c r="BT103" s="13"/>
      <c r="BU103" s="13"/>
      <c r="BV103" s="13"/>
      <c r="BW103" s="13"/>
      <c r="BX103" s="13"/>
      <c r="BY103" s="13"/>
    </row>
    <row r="104" spans="7:77" s="64" customFormat="1" x14ac:dyDescent="0.35">
      <c r="G104" s="133"/>
      <c r="H104" s="133"/>
      <c r="I104" s="165"/>
      <c r="AN104" s="13"/>
      <c r="AO104" s="13"/>
      <c r="AP104" s="13"/>
      <c r="AQ104" s="13"/>
      <c r="AR104" s="13"/>
      <c r="AS104" s="13"/>
      <c r="AT104" s="13"/>
      <c r="AU104" s="13"/>
      <c r="AV104" s="13"/>
      <c r="AW104" s="13"/>
      <c r="AX104" s="13"/>
      <c r="AY104" s="13"/>
      <c r="AZ104" s="13"/>
      <c r="BA104" s="13"/>
      <c r="BB104" s="13"/>
      <c r="BC104" s="13"/>
      <c r="BD104" s="13"/>
      <c r="BE104" s="13"/>
      <c r="BF104" s="13"/>
      <c r="BG104" s="13"/>
      <c r="BH104" s="13"/>
      <c r="BI104" s="13"/>
      <c r="BJ104" s="13"/>
      <c r="BK104" s="13"/>
      <c r="BL104" s="13"/>
      <c r="BM104" s="13"/>
      <c r="BN104" s="13"/>
      <c r="BO104" s="13"/>
      <c r="BP104" s="13"/>
      <c r="BQ104" s="13"/>
      <c r="BR104" s="13"/>
      <c r="BS104" s="13"/>
      <c r="BT104" s="13"/>
      <c r="BU104" s="13"/>
      <c r="BV104" s="13"/>
      <c r="BW104" s="13"/>
      <c r="BX104" s="13"/>
      <c r="BY104" s="13"/>
    </row>
    <row r="105" spans="7:77" s="64" customFormat="1" x14ac:dyDescent="0.35">
      <c r="G105" s="133"/>
      <c r="H105" s="133"/>
      <c r="I105" s="165"/>
      <c r="AN105" s="13"/>
      <c r="AO105" s="13"/>
      <c r="AP105" s="13"/>
      <c r="AQ105" s="13"/>
      <c r="AR105" s="13"/>
      <c r="AS105" s="13"/>
      <c r="AT105" s="13"/>
      <c r="AU105" s="13"/>
      <c r="AV105" s="13"/>
      <c r="AW105" s="13"/>
      <c r="AX105" s="13"/>
      <c r="AY105" s="13"/>
      <c r="AZ105" s="13"/>
      <c r="BA105" s="13"/>
      <c r="BB105" s="13"/>
      <c r="BC105" s="13"/>
      <c r="BD105" s="13"/>
      <c r="BE105" s="13"/>
      <c r="BF105" s="13"/>
      <c r="BG105" s="13"/>
      <c r="BH105" s="13"/>
      <c r="BI105" s="13"/>
      <c r="BJ105" s="13"/>
      <c r="BK105" s="13"/>
      <c r="BL105" s="13"/>
      <c r="BM105" s="13"/>
      <c r="BN105" s="13"/>
      <c r="BO105" s="13"/>
      <c r="BP105" s="13"/>
      <c r="BQ105" s="13"/>
      <c r="BR105" s="13"/>
      <c r="BS105" s="13"/>
      <c r="BT105" s="13"/>
      <c r="BU105" s="13"/>
      <c r="BV105" s="13"/>
      <c r="BW105" s="13"/>
      <c r="BX105" s="13"/>
      <c r="BY105" s="13"/>
    </row>
    <row r="106" spans="7:77" s="64" customFormat="1" x14ac:dyDescent="0.35">
      <c r="G106" s="133"/>
      <c r="H106" s="133"/>
      <c r="I106" s="165"/>
      <c r="AN106" s="13"/>
      <c r="AO106" s="13"/>
      <c r="AP106" s="13"/>
      <c r="AQ106" s="13"/>
      <c r="AR106" s="13"/>
      <c r="AS106" s="13"/>
      <c r="AT106" s="13"/>
      <c r="AU106" s="13"/>
      <c r="AV106" s="13"/>
      <c r="AW106" s="13"/>
      <c r="AX106" s="13"/>
      <c r="AY106" s="13"/>
      <c r="AZ106" s="13"/>
      <c r="BA106" s="13"/>
      <c r="BB106" s="13"/>
      <c r="BC106" s="13"/>
      <c r="BD106" s="13"/>
      <c r="BE106" s="13"/>
      <c r="BF106" s="13"/>
      <c r="BG106" s="13"/>
      <c r="BH106" s="13"/>
      <c r="BI106" s="13"/>
      <c r="BJ106" s="13"/>
      <c r="BK106" s="13"/>
      <c r="BL106" s="13"/>
      <c r="BM106" s="13"/>
      <c r="BN106" s="13"/>
      <c r="BO106" s="13"/>
      <c r="BP106" s="13"/>
      <c r="BQ106" s="13"/>
      <c r="BR106" s="13"/>
      <c r="BS106" s="13"/>
      <c r="BT106" s="13"/>
      <c r="BU106" s="13"/>
      <c r="BV106" s="13"/>
      <c r="BW106" s="13"/>
      <c r="BX106" s="13"/>
      <c r="BY106" s="13"/>
    </row>
    <row r="107" spans="7:77" s="64" customFormat="1" x14ac:dyDescent="0.35">
      <c r="G107" s="133"/>
      <c r="H107" s="133"/>
      <c r="I107" s="165"/>
      <c r="AN107" s="13"/>
      <c r="AO107" s="13"/>
      <c r="AP107" s="13"/>
      <c r="AQ107" s="13"/>
      <c r="AR107" s="13"/>
      <c r="AS107" s="13"/>
      <c r="AT107" s="13"/>
      <c r="AU107" s="13"/>
      <c r="AV107" s="13"/>
      <c r="AW107" s="13"/>
      <c r="AX107" s="13"/>
      <c r="AY107" s="13"/>
      <c r="AZ107" s="13"/>
      <c r="BA107" s="13"/>
      <c r="BB107" s="13"/>
      <c r="BC107" s="13"/>
      <c r="BD107" s="13"/>
      <c r="BE107" s="13"/>
      <c r="BF107" s="13"/>
      <c r="BG107" s="13"/>
      <c r="BH107" s="13"/>
      <c r="BI107" s="13"/>
      <c r="BJ107" s="13"/>
      <c r="BK107" s="13"/>
      <c r="BL107" s="13"/>
      <c r="BM107" s="13"/>
      <c r="BN107" s="13"/>
      <c r="BO107" s="13"/>
      <c r="BP107" s="13"/>
      <c r="BQ107" s="13"/>
      <c r="BR107" s="13"/>
      <c r="BS107" s="13"/>
      <c r="BT107" s="13"/>
      <c r="BU107" s="13"/>
      <c r="BV107" s="13"/>
      <c r="BW107" s="13"/>
      <c r="BX107" s="13"/>
      <c r="BY107" s="13"/>
    </row>
    <row r="108" spans="7:77" s="64" customFormat="1" x14ac:dyDescent="0.35">
      <c r="G108" s="133"/>
      <c r="H108" s="133"/>
      <c r="I108" s="165"/>
      <c r="AN108" s="13"/>
      <c r="AO108" s="13"/>
      <c r="AP108" s="13"/>
      <c r="AQ108" s="13"/>
      <c r="AR108" s="13"/>
      <c r="AS108" s="13"/>
      <c r="AT108" s="13"/>
      <c r="AU108" s="13"/>
      <c r="AV108" s="13"/>
      <c r="AW108" s="13"/>
      <c r="AX108" s="13"/>
      <c r="AY108" s="13"/>
      <c r="AZ108" s="13"/>
      <c r="BA108" s="13"/>
      <c r="BB108" s="13"/>
      <c r="BC108" s="13"/>
      <c r="BD108" s="13"/>
      <c r="BE108" s="13"/>
      <c r="BF108" s="13"/>
      <c r="BG108" s="13"/>
      <c r="BH108" s="13"/>
      <c r="BI108" s="13"/>
      <c r="BJ108" s="13"/>
      <c r="BK108" s="13"/>
      <c r="BL108" s="13"/>
      <c r="BM108" s="13"/>
      <c r="BN108" s="13"/>
      <c r="BO108" s="13"/>
      <c r="BP108" s="13"/>
      <c r="BQ108" s="13"/>
      <c r="BR108" s="13"/>
      <c r="BS108" s="13"/>
      <c r="BT108" s="13"/>
      <c r="BU108" s="13"/>
      <c r="BV108" s="13"/>
      <c r="BW108" s="13"/>
      <c r="BX108" s="13"/>
      <c r="BY108" s="13"/>
    </row>
    <row r="109" spans="7:77" s="64" customFormat="1" x14ac:dyDescent="0.35">
      <c r="G109" s="133"/>
      <c r="H109" s="133"/>
      <c r="I109" s="165"/>
      <c r="AN109" s="13"/>
      <c r="AO109" s="13"/>
      <c r="AP109" s="13"/>
      <c r="AQ109" s="13"/>
      <c r="AR109" s="13"/>
      <c r="AS109" s="13"/>
      <c r="AT109" s="13"/>
      <c r="AU109" s="13"/>
      <c r="AV109" s="13"/>
      <c r="AW109" s="13"/>
      <c r="AX109" s="13"/>
      <c r="AY109" s="13"/>
      <c r="AZ109" s="13"/>
      <c r="BA109" s="13"/>
      <c r="BB109" s="13"/>
      <c r="BC109" s="13"/>
      <c r="BD109" s="13"/>
      <c r="BE109" s="13"/>
      <c r="BF109" s="13"/>
      <c r="BG109" s="13"/>
      <c r="BH109" s="13"/>
      <c r="BI109" s="13"/>
      <c r="BJ109" s="13"/>
      <c r="BK109" s="13"/>
      <c r="BL109" s="13"/>
      <c r="BM109" s="13"/>
      <c r="BN109" s="13"/>
      <c r="BO109" s="13"/>
      <c r="BP109" s="13"/>
      <c r="BQ109" s="13"/>
      <c r="BR109" s="13"/>
      <c r="BS109" s="13"/>
      <c r="BT109" s="13"/>
      <c r="BU109" s="13"/>
      <c r="BV109" s="13"/>
      <c r="BW109" s="13"/>
      <c r="BX109" s="13"/>
      <c r="BY109" s="13"/>
    </row>
    <row r="110" spans="7:77" s="64" customFormat="1" x14ac:dyDescent="0.35">
      <c r="G110" s="133"/>
      <c r="H110" s="133"/>
      <c r="I110" s="165"/>
      <c r="AN110" s="13"/>
      <c r="AO110" s="13"/>
      <c r="AP110" s="13"/>
      <c r="AQ110" s="13"/>
      <c r="AR110" s="13"/>
      <c r="AS110" s="13"/>
      <c r="AT110" s="13"/>
      <c r="AU110" s="13"/>
      <c r="AV110" s="13"/>
      <c r="AW110" s="13"/>
      <c r="AX110" s="13"/>
      <c r="AY110" s="13"/>
      <c r="AZ110" s="13"/>
      <c r="BA110" s="13"/>
      <c r="BB110" s="13"/>
      <c r="BC110" s="13"/>
      <c r="BD110" s="13"/>
      <c r="BE110" s="13"/>
      <c r="BF110" s="13"/>
      <c r="BG110" s="13"/>
      <c r="BH110" s="13"/>
      <c r="BI110" s="13"/>
      <c r="BJ110" s="13"/>
      <c r="BK110" s="13"/>
      <c r="BL110" s="13"/>
      <c r="BM110" s="13"/>
      <c r="BN110" s="13"/>
      <c r="BO110" s="13"/>
      <c r="BP110" s="13"/>
      <c r="BQ110" s="13"/>
      <c r="BR110" s="13"/>
      <c r="BS110" s="13"/>
      <c r="BT110" s="13"/>
      <c r="BU110" s="13"/>
      <c r="BV110" s="13"/>
      <c r="BW110" s="13"/>
      <c r="BX110" s="13"/>
      <c r="BY110" s="13"/>
    </row>
    <row r="111" spans="7:77" s="64" customFormat="1" x14ac:dyDescent="0.35">
      <c r="G111" s="133"/>
      <c r="H111" s="133"/>
      <c r="I111" s="165"/>
      <c r="AN111" s="13"/>
      <c r="AO111" s="13"/>
      <c r="AP111" s="13"/>
      <c r="AQ111" s="13"/>
      <c r="AR111" s="13"/>
      <c r="AS111" s="13"/>
      <c r="AT111" s="13"/>
      <c r="AU111" s="13"/>
      <c r="AV111" s="13"/>
      <c r="AW111" s="13"/>
      <c r="AX111" s="13"/>
      <c r="AY111" s="13"/>
      <c r="AZ111" s="13"/>
      <c r="BA111" s="13"/>
      <c r="BB111" s="13"/>
      <c r="BC111" s="13"/>
      <c r="BD111" s="13"/>
      <c r="BE111" s="13"/>
      <c r="BF111" s="13"/>
      <c r="BG111" s="13"/>
      <c r="BH111" s="13"/>
      <c r="BI111" s="13"/>
      <c r="BJ111" s="13"/>
      <c r="BK111" s="13"/>
      <c r="BL111" s="13"/>
      <c r="BM111" s="13"/>
      <c r="BN111" s="13"/>
      <c r="BO111" s="13"/>
      <c r="BP111" s="13"/>
      <c r="BQ111" s="13"/>
      <c r="BR111" s="13"/>
      <c r="BS111" s="13"/>
      <c r="BT111" s="13"/>
      <c r="BU111" s="13"/>
      <c r="BV111" s="13"/>
      <c r="BW111" s="13"/>
      <c r="BX111" s="13"/>
      <c r="BY111" s="13"/>
    </row>
    <row r="112" spans="7:77" s="64" customFormat="1" x14ac:dyDescent="0.35">
      <c r="G112" s="133"/>
      <c r="H112" s="133"/>
      <c r="I112" s="165"/>
      <c r="AN112" s="13"/>
      <c r="AO112" s="13"/>
      <c r="AP112" s="13"/>
      <c r="AQ112" s="13"/>
      <c r="AR112" s="13"/>
      <c r="AS112" s="13"/>
      <c r="AT112" s="13"/>
      <c r="AU112" s="13"/>
      <c r="AV112" s="13"/>
      <c r="AW112" s="13"/>
      <c r="AX112" s="13"/>
      <c r="AY112" s="13"/>
      <c r="AZ112" s="13"/>
      <c r="BA112" s="13"/>
      <c r="BB112" s="13"/>
      <c r="BC112" s="13"/>
      <c r="BD112" s="13"/>
      <c r="BE112" s="13"/>
      <c r="BF112" s="13"/>
      <c r="BG112" s="13"/>
      <c r="BH112" s="13"/>
      <c r="BI112" s="13"/>
      <c r="BJ112" s="13"/>
      <c r="BK112" s="13"/>
      <c r="BL112" s="13"/>
      <c r="BM112" s="13"/>
      <c r="BN112" s="13"/>
      <c r="BO112" s="13"/>
      <c r="BP112" s="13"/>
      <c r="BQ112" s="13"/>
      <c r="BR112" s="13"/>
      <c r="BS112" s="13"/>
      <c r="BT112" s="13"/>
      <c r="BU112" s="13"/>
      <c r="BV112" s="13"/>
      <c r="BW112" s="13"/>
      <c r="BX112" s="13"/>
      <c r="BY112" s="13"/>
    </row>
    <row r="113" spans="7:77" s="64" customFormat="1" x14ac:dyDescent="0.35">
      <c r="G113" s="133"/>
      <c r="H113" s="133"/>
      <c r="I113" s="165"/>
      <c r="AN113" s="13"/>
      <c r="AO113" s="13"/>
      <c r="AP113" s="13"/>
      <c r="AQ113" s="13"/>
      <c r="AR113" s="13"/>
      <c r="AS113" s="13"/>
      <c r="AT113" s="13"/>
      <c r="AU113" s="13"/>
      <c r="AV113" s="13"/>
      <c r="AW113" s="13"/>
      <c r="AX113" s="13"/>
      <c r="AY113" s="13"/>
      <c r="AZ113" s="13"/>
      <c r="BA113" s="13"/>
      <c r="BB113" s="13"/>
      <c r="BC113" s="13"/>
      <c r="BD113" s="13"/>
      <c r="BE113" s="13"/>
      <c r="BF113" s="13"/>
      <c r="BG113" s="13"/>
      <c r="BH113" s="13"/>
      <c r="BI113" s="13"/>
      <c r="BJ113" s="13"/>
      <c r="BK113" s="13"/>
      <c r="BL113" s="13"/>
      <c r="BM113" s="13"/>
      <c r="BN113" s="13"/>
      <c r="BO113" s="13"/>
      <c r="BP113" s="13"/>
      <c r="BQ113" s="13"/>
      <c r="BR113" s="13"/>
      <c r="BS113" s="13"/>
      <c r="BT113" s="13"/>
      <c r="BU113" s="13"/>
      <c r="BV113" s="13"/>
      <c r="BW113" s="13"/>
      <c r="BX113" s="13"/>
      <c r="BY113" s="13"/>
    </row>
    <row r="114" spans="7:77" s="64" customFormat="1" x14ac:dyDescent="0.35">
      <c r="G114" s="133"/>
      <c r="H114" s="133"/>
      <c r="I114" s="165"/>
      <c r="AN114" s="13"/>
      <c r="AO114" s="13"/>
      <c r="AP114" s="13"/>
      <c r="AQ114" s="13"/>
      <c r="AR114" s="13"/>
      <c r="AS114" s="13"/>
      <c r="AT114" s="13"/>
      <c r="AU114" s="13"/>
      <c r="AV114" s="13"/>
      <c r="AW114" s="13"/>
      <c r="AX114" s="13"/>
      <c r="AY114" s="13"/>
      <c r="AZ114" s="13"/>
      <c r="BA114" s="13"/>
      <c r="BB114" s="13"/>
      <c r="BC114" s="13"/>
      <c r="BD114" s="13"/>
      <c r="BE114" s="13"/>
      <c r="BF114" s="13"/>
      <c r="BG114" s="13"/>
      <c r="BH114" s="13"/>
      <c r="BI114" s="13"/>
      <c r="BJ114" s="13"/>
      <c r="BK114" s="13"/>
      <c r="BL114" s="13"/>
      <c r="BM114" s="13"/>
      <c r="BN114" s="13"/>
      <c r="BO114" s="13"/>
      <c r="BP114" s="13"/>
      <c r="BQ114" s="13"/>
      <c r="BR114" s="13"/>
      <c r="BS114" s="13"/>
      <c r="BT114" s="13"/>
      <c r="BU114" s="13"/>
      <c r="BV114" s="13"/>
      <c r="BW114" s="13"/>
      <c r="BX114" s="13"/>
      <c r="BY114" s="13"/>
    </row>
    <row r="115" spans="7:77" s="64" customFormat="1" x14ac:dyDescent="0.35">
      <c r="G115" s="133"/>
      <c r="H115" s="133"/>
      <c r="I115" s="165"/>
      <c r="AN115" s="13"/>
      <c r="AO115" s="13"/>
      <c r="AP115" s="13"/>
      <c r="AQ115" s="13"/>
      <c r="AR115" s="13"/>
      <c r="AS115" s="13"/>
      <c r="AT115" s="13"/>
      <c r="AU115" s="13"/>
      <c r="AV115" s="13"/>
      <c r="AW115" s="13"/>
      <c r="AX115" s="13"/>
      <c r="AY115" s="13"/>
      <c r="AZ115" s="13"/>
      <c r="BA115" s="13"/>
      <c r="BB115" s="13"/>
      <c r="BC115" s="13"/>
      <c r="BD115" s="13"/>
      <c r="BE115" s="13"/>
      <c r="BF115" s="13"/>
      <c r="BG115" s="13"/>
      <c r="BH115" s="13"/>
      <c r="BI115" s="13"/>
      <c r="BJ115" s="13"/>
      <c r="BK115" s="13"/>
      <c r="BL115" s="13"/>
      <c r="BM115" s="13"/>
      <c r="BN115" s="13"/>
      <c r="BO115" s="13"/>
      <c r="BP115" s="13"/>
      <c r="BQ115" s="13"/>
      <c r="BR115" s="13"/>
      <c r="BS115" s="13"/>
      <c r="BT115" s="13"/>
      <c r="BU115" s="13"/>
      <c r="BV115" s="13"/>
      <c r="BW115" s="13"/>
      <c r="BX115" s="13"/>
      <c r="BY115" s="13"/>
    </row>
    <row r="116" spans="7:77" s="64" customFormat="1" x14ac:dyDescent="0.35">
      <c r="G116" s="133"/>
      <c r="H116" s="133"/>
      <c r="I116" s="165"/>
      <c r="AN116" s="13"/>
      <c r="AO116" s="13"/>
      <c r="AP116" s="13"/>
      <c r="AQ116" s="13"/>
      <c r="AR116" s="13"/>
      <c r="AS116" s="13"/>
      <c r="AT116" s="13"/>
      <c r="AU116" s="13"/>
      <c r="AV116" s="13"/>
      <c r="AW116" s="13"/>
      <c r="AX116" s="13"/>
      <c r="AY116" s="13"/>
      <c r="AZ116" s="13"/>
      <c r="BA116" s="13"/>
      <c r="BB116" s="13"/>
      <c r="BC116" s="13"/>
      <c r="BD116" s="13"/>
      <c r="BE116" s="13"/>
      <c r="BF116" s="13"/>
      <c r="BG116" s="13"/>
      <c r="BH116" s="13"/>
      <c r="BI116" s="13"/>
      <c r="BJ116" s="13"/>
      <c r="BK116" s="13"/>
      <c r="BL116" s="13"/>
      <c r="BM116" s="13"/>
      <c r="BN116" s="13"/>
      <c r="BO116" s="13"/>
      <c r="BP116" s="13"/>
      <c r="BQ116" s="13"/>
      <c r="BR116" s="13"/>
      <c r="BS116" s="13"/>
      <c r="BT116" s="13"/>
      <c r="BU116" s="13"/>
      <c r="BV116" s="13"/>
      <c r="BW116" s="13"/>
      <c r="BX116" s="13"/>
      <c r="BY116" s="13"/>
    </row>
    <row r="117" spans="7:77" s="64" customFormat="1" x14ac:dyDescent="0.35">
      <c r="G117" s="133"/>
      <c r="H117" s="133"/>
      <c r="I117" s="165"/>
      <c r="AN117" s="13"/>
      <c r="AO117" s="13"/>
      <c r="AP117" s="13"/>
      <c r="AQ117" s="13"/>
      <c r="AR117" s="13"/>
      <c r="AS117" s="13"/>
      <c r="AT117" s="13"/>
      <c r="AU117" s="13"/>
      <c r="AV117" s="13"/>
      <c r="AW117" s="13"/>
      <c r="AX117" s="13"/>
      <c r="AY117" s="13"/>
      <c r="AZ117" s="13"/>
      <c r="BA117" s="13"/>
      <c r="BB117" s="13"/>
      <c r="BC117" s="13"/>
      <c r="BD117" s="13"/>
      <c r="BE117" s="13"/>
      <c r="BF117" s="13"/>
      <c r="BG117" s="13"/>
      <c r="BH117" s="13"/>
      <c r="BI117" s="13"/>
      <c r="BJ117" s="13"/>
      <c r="BK117" s="13"/>
      <c r="BL117" s="13"/>
      <c r="BM117" s="13"/>
      <c r="BN117" s="13"/>
      <c r="BO117" s="13"/>
      <c r="BP117" s="13"/>
      <c r="BQ117" s="13"/>
      <c r="BR117" s="13"/>
      <c r="BS117" s="13"/>
      <c r="BT117" s="13"/>
      <c r="BU117" s="13"/>
      <c r="BV117" s="13"/>
      <c r="BW117" s="13"/>
      <c r="BX117" s="13"/>
      <c r="BY117" s="13"/>
    </row>
    <row r="118" spans="7:77" s="64" customFormat="1" x14ac:dyDescent="0.35">
      <c r="G118" s="133"/>
      <c r="H118" s="133"/>
      <c r="I118" s="165"/>
      <c r="AN118" s="13"/>
      <c r="AO118" s="13"/>
      <c r="AP118" s="13"/>
      <c r="AQ118" s="13"/>
      <c r="AR118" s="13"/>
      <c r="AS118" s="13"/>
      <c r="AT118" s="13"/>
      <c r="AU118" s="13"/>
      <c r="AV118" s="13"/>
      <c r="AW118" s="13"/>
      <c r="AX118" s="13"/>
      <c r="AY118" s="13"/>
      <c r="AZ118" s="13"/>
      <c r="BA118" s="13"/>
      <c r="BB118" s="13"/>
      <c r="BC118" s="13"/>
      <c r="BD118" s="13"/>
      <c r="BE118" s="13"/>
      <c r="BF118" s="13"/>
      <c r="BG118" s="13"/>
      <c r="BH118" s="13"/>
      <c r="BI118" s="13"/>
      <c r="BJ118" s="13"/>
      <c r="BK118" s="13"/>
      <c r="BL118" s="13"/>
      <c r="BM118" s="13"/>
      <c r="BN118" s="13"/>
      <c r="BO118" s="13"/>
      <c r="BP118" s="13"/>
      <c r="BQ118" s="13"/>
      <c r="BR118" s="13"/>
      <c r="BS118" s="13"/>
      <c r="BT118" s="13"/>
      <c r="BU118" s="13"/>
      <c r="BV118" s="13"/>
      <c r="BW118" s="13"/>
      <c r="BX118" s="13"/>
      <c r="BY118" s="13"/>
    </row>
    <row r="119" spans="7:77" s="64" customFormat="1" x14ac:dyDescent="0.35">
      <c r="G119" s="133"/>
      <c r="H119" s="133"/>
      <c r="I119" s="165"/>
      <c r="AN119" s="13"/>
      <c r="AO119" s="13"/>
      <c r="AP119" s="13"/>
      <c r="AQ119" s="13"/>
      <c r="AR119" s="13"/>
      <c r="AS119" s="13"/>
      <c r="AT119" s="13"/>
      <c r="AU119" s="13"/>
      <c r="AV119" s="13"/>
      <c r="AW119" s="13"/>
      <c r="AX119" s="13"/>
      <c r="AY119" s="13"/>
      <c r="AZ119" s="13"/>
      <c r="BA119" s="13"/>
      <c r="BB119" s="13"/>
      <c r="BC119" s="13"/>
      <c r="BD119" s="13"/>
      <c r="BE119" s="13"/>
      <c r="BF119" s="13"/>
      <c r="BG119" s="13"/>
      <c r="BH119" s="13"/>
      <c r="BI119" s="13"/>
      <c r="BJ119" s="13"/>
      <c r="BK119" s="13"/>
      <c r="BL119" s="13"/>
      <c r="BM119" s="13"/>
      <c r="BN119" s="13"/>
      <c r="BO119" s="13"/>
      <c r="BP119" s="13"/>
      <c r="BQ119" s="13"/>
      <c r="BR119" s="13"/>
      <c r="BS119" s="13"/>
      <c r="BT119" s="13"/>
      <c r="BU119" s="13"/>
      <c r="BV119" s="13"/>
      <c r="BW119" s="13"/>
      <c r="BX119" s="13"/>
      <c r="BY119" s="13"/>
    </row>
    <row r="120" spans="7:77" s="64" customFormat="1" x14ac:dyDescent="0.35">
      <c r="G120" s="133"/>
      <c r="H120" s="133"/>
      <c r="I120" s="165"/>
      <c r="AN120" s="13"/>
      <c r="AO120" s="13"/>
      <c r="AP120" s="13"/>
      <c r="AQ120" s="13"/>
      <c r="AR120" s="13"/>
      <c r="AS120" s="13"/>
      <c r="AT120" s="13"/>
      <c r="AU120" s="13"/>
      <c r="AV120" s="13"/>
      <c r="AW120" s="13"/>
      <c r="AX120" s="13"/>
      <c r="AY120" s="13"/>
      <c r="AZ120" s="13"/>
      <c r="BA120" s="13"/>
      <c r="BB120" s="13"/>
      <c r="BC120" s="13"/>
      <c r="BD120" s="13"/>
      <c r="BE120" s="13"/>
      <c r="BF120" s="13"/>
      <c r="BG120" s="13"/>
      <c r="BH120" s="13"/>
      <c r="BI120" s="13"/>
      <c r="BJ120" s="13"/>
      <c r="BK120" s="13"/>
      <c r="BL120" s="13"/>
      <c r="BM120" s="13"/>
      <c r="BN120" s="13"/>
      <c r="BO120" s="13"/>
      <c r="BP120" s="13"/>
      <c r="BQ120" s="13"/>
      <c r="BR120" s="13"/>
      <c r="BS120" s="13"/>
      <c r="BT120" s="13"/>
      <c r="BU120" s="13"/>
      <c r="BV120" s="13"/>
      <c r="BW120" s="13"/>
      <c r="BX120" s="13"/>
      <c r="BY120" s="13"/>
    </row>
    <row r="121" spans="7:77" s="64" customFormat="1" x14ac:dyDescent="0.35">
      <c r="G121" s="133"/>
      <c r="H121" s="133"/>
      <c r="I121" s="165"/>
      <c r="AN121" s="13"/>
      <c r="AO121" s="13"/>
      <c r="AP121" s="13"/>
      <c r="AQ121" s="13"/>
      <c r="AR121" s="13"/>
      <c r="AS121" s="13"/>
      <c r="AT121" s="13"/>
      <c r="AU121" s="13"/>
      <c r="AV121" s="13"/>
      <c r="AW121" s="13"/>
      <c r="AX121" s="13"/>
      <c r="AY121" s="13"/>
      <c r="AZ121" s="13"/>
      <c r="BA121" s="13"/>
      <c r="BB121" s="13"/>
      <c r="BC121" s="13"/>
      <c r="BD121" s="13"/>
      <c r="BE121" s="13"/>
      <c r="BF121" s="13"/>
      <c r="BG121" s="13"/>
      <c r="BH121" s="13"/>
      <c r="BI121" s="13"/>
      <c r="BJ121" s="13"/>
      <c r="BK121" s="13"/>
      <c r="BL121" s="13"/>
      <c r="BM121" s="13"/>
      <c r="BN121" s="13"/>
      <c r="BO121" s="13"/>
      <c r="BP121" s="13"/>
      <c r="BQ121" s="13"/>
      <c r="BR121" s="13"/>
      <c r="BS121" s="13"/>
      <c r="BT121" s="13"/>
      <c r="BU121" s="13"/>
      <c r="BV121" s="13"/>
      <c r="BW121" s="13"/>
      <c r="BX121" s="13"/>
      <c r="BY121" s="13"/>
    </row>
    <row r="122" spans="7:77" s="64" customFormat="1" x14ac:dyDescent="0.35">
      <c r="G122" s="133"/>
      <c r="H122" s="133"/>
      <c r="I122" s="165"/>
      <c r="AN122" s="13"/>
      <c r="AO122" s="13"/>
      <c r="AP122" s="13"/>
      <c r="AQ122" s="13"/>
      <c r="AR122" s="13"/>
      <c r="AS122" s="13"/>
      <c r="AT122" s="13"/>
      <c r="AU122" s="13"/>
      <c r="AV122" s="13"/>
      <c r="AW122" s="13"/>
      <c r="AX122" s="13"/>
      <c r="AY122" s="13"/>
      <c r="AZ122" s="13"/>
      <c r="BA122" s="13"/>
      <c r="BB122" s="13"/>
      <c r="BC122" s="13"/>
      <c r="BD122" s="13"/>
      <c r="BE122" s="13"/>
      <c r="BF122" s="13"/>
      <c r="BG122" s="13"/>
      <c r="BH122" s="13"/>
      <c r="BI122" s="13"/>
      <c r="BJ122" s="13"/>
      <c r="BK122" s="13"/>
      <c r="BL122" s="13"/>
      <c r="BM122" s="13"/>
      <c r="BN122" s="13"/>
      <c r="BO122" s="13"/>
      <c r="BP122" s="13"/>
      <c r="BQ122" s="13"/>
      <c r="BR122" s="13"/>
      <c r="BS122" s="13"/>
      <c r="BT122" s="13"/>
      <c r="BU122" s="13"/>
      <c r="BV122" s="13"/>
      <c r="BW122" s="13"/>
      <c r="BX122" s="13"/>
      <c r="BY122" s="13"/>
    </row>
    <row r="123" spans="7:77" s="64" customFormat="1" x14ac:dyDescent="0.35">
      <c r="G123" s="133"/>
      <c r="H123" s="133"/>
      <c r="I123" s="165"/>
      <c r="AN123" s="13"/>
      <c r="AO123" s="13"/>
      <c r="AP123" s="13"/>
      <c r="AQ123" s="13"/>
      <c r="AR123" s="13"/>
      <c r="AS123" s="13"/>
      <c r="AT123" s="13"/>
      <c r="AU123" s="13"/>
      <c r="AV123" s="13"/>
      <c r="AW123" s="13"/>
      <c r="AX123" s="13"/>
      <c r="AY123" s="13"/>
      <c r="AZ123" s="13"/>
      <c r="BA123" s="13"/>
      <c r="BB123" s="13"/>
      <c r="BC123" s="13"/>
      <c r="BD123" s="13"/>
      <c r="BE123" s="13"/>
      <c r="BF123" s="13"/>
      <c r="BG123" s="13"/>
      <c r="BH123" s="13"/>
      <c r="BI123" s="13"/>
      <c r="BJ123" s="13"/>
      <c r="BK123" s="13"/>
      <c r="BL123" s="13"/>
      <c r="BM123" s="13"/>
      <c r="BN123" s="13"/>
      <c r="BO123" s="13"/>
      <c r="BP123" s="13"/>
      <c r="BQ123" s="13"/>
      <c r="BR123" s="13"/>
      <c r="BS123" s="13"/>
      <c r="BT123" s="13"/>
      <c r="BU123" s="13"/>
      <c r="BV123" s="13"/>
      <c r="BW123" s="13"/>
      <c r="BX123" s="13"/>
      <c r="BY123" s="13"/>
    </row>
    <row r="124" spans="7:77" s="64" customFormat="1" x14ac:dyDescent="0.35">
      <c r="G124" s="133"/>
      <c r="H124" s="133"/>
      <c r="I124" s="165"/>
      <c r="AN124" s="13"/>
      <c r="AO124" s="13"/>
      <c r="AP124" s="13"/>
      <c r="AQ124" s="13"/>
      <c r="AR124" s="13"/>
      <c r="AS124" s="13"/>
      <c r="AT124" s="13"/>
      <c r="AU124" s="13"/>
      <c r="AV124" s="13"/>
      <c r="AW124" s="13"/>
      <c r="AX124" s="13"/>
      <c r="AY124" s="13"/>
      <c r="AZ124" s="13"/>
      <c r="BA124" s="13"/>
      <c r="BB124" s="13"/>
      <c r="BC124" s="13"/>
      <c r="BD124" s="13"/>
      <c r="BE124" s="13"/>
      <c r="BF124" s="13"/>
      <c r="BG124" s="13"/>
      <c r="BH124" s="13"/>
      <c r="BI124" s="13"/>
      <c r="BJ124" s="13"/>
      <c r="BK124" s="13"/>
      <c r="BL124" s="13"/>
      <c r="BM124" s="13"/>
      <c r="BN124" s="13"/>
      <c r="BO124" s="13"/>
      <c r="BP124" s="13"/>
      <c r="BQ124" s="13"/>
      <c r="BR124" s="13"/>
      <c r="BS124" s="13"/>
      <c r="BT124" s="13"/>
      <c r="BU124" s="13"/>
      <c r="BV124" s="13"/>
      <c r="BW124" s="13"/>
      <c r="BX124" s="13"/>
      <c r="BY124" s="13"/>
    </row>
    <row r="125" spans="7:77" s="64" customFormat="1" x14ac:dyDescent="0.35">
      <c r="G125" s="133"/>
      <c r="H125" s="133"/>
      <c r="I125" s="165"/>
      <c r="AN125" s="13"/>
      <c r="AO125" s="13"/>
      <c r="AP125" s="13"/>
      <c r="AQ125" s="13"/>
      <c r="AR125" s="13"/>
      <c r="AS125" s="13"/>
      <c r="AT125" s="13"/>
      <c r="AU125" s="13"/>
      <c r="AV125" s="13"/>
      <c r="AW125" s="13"/>
      <c r="AX125" s="13"/>
      <c r="AY125" s="13"/>
      <c r="AZ125" s="13"/>
      <c r="BA125" s="13"/>
      <c r="BB125" s="13"/>
      <c r="BC125" s="13"/>
      <c r="BD125" s="13"/>
      <c r="BE125" s="13"/>
      <c r="BF125" s="13"/>
      <c r="BG125" s="13"/>
      <c r="BH125" s="13"/>
      <c r="BI125" s="13"/>
      <c r="BJ125" s="13"/>
      <c r="BK125" s="13"/>
      <c r="BL125" s="13"/>
      <c r="BM125" s="13"/>
      <c r="BN125" s="13"/>
      <c r="BO125" s="13"/>
      <c r="BP125" s="13"/>
      <c r="BQ125" s="13"/>
      <c r="BR125" s="13"/>
      <c r="BS125" s="13"/>
      <c r="BT125" s="13"/>
      <c r="BU125" s="13"/>
      <c r="BV125" s="13"/>
      <c r="BW125" s="13"/>
      <c r="BX125" s="13"/>
      <c r="BY125" s="13"/>
    </row>
    <row r="126" spans="7:77" s="64" customFormat="1" x14ac:dyDescent="0.35">
      <c r="G126" s="133"/>
      <c r="H126" s="133"/>
      <c r="I126" s="165"/>
      <c r="AN126" s="13"/>
      <c r="AO126" s="13"/>
      <c r="AP126" s="13"/>
      <c r="AQ126" s="13"/>
      <c r="AR126" s="13"/>
      <c r="AS126" s="13"/>
      <c r="AT126" s="13"/>
      <c r="AU126" s="13"/>
      <c r="AV126" s="13"/>
      <c r="AW126" s="13"/>
      <c r="AX126" s="13"/>
      <c r="AY126" s="13"/>
      <c r="AZ126" s="13"/>
      <c r="BA126" s="13"/>
      <c r="BB126" s="13"/>
      <c r="BC126" s="13"/>
      <c r="BD126" s="13"/>
      <c r="BE126" s="13"/>
      <c r="BF126" s="13"/>
      <c r="BG126" s="13"/>
      <c r="BH126" s="13"/>
      <c r="BI126" s="13"/>
      <c r="BJ126" s="13"/>
      <c r="BK126" s="13"/>
      <c r="BL126" s="13"/>
      <c r="BM126" s="13"/>
      <c r="BN126" s="13"/>
      <c r="BO126" s="13"/>
      <c r="BP126" s="13"/>
      <c r="BQ126" s="13"/>
      <c r="BR126" s="13"/>
      <c r="BS126" s="13"/>
      <c r="BT126" s="13"/>
      <c r="BU126" s="13"/>
      <c r="BV126" s="13"/>
      <c r="BW126" s="13"/>
      <c r="BX126" s="13"/>
      <c r="BY126" s="13"/>
    </row>
    <row r="127" spans="7:77" s="64" customFormat="1" x14ac:dyDescent="0.35">
      <c r="G127" s="133"/>
      <c r="H127" s="133"/>
      <c r="I127" s="165"/>
      <c r="AN127" s="13"/>
      <c r="AO127" s="13"/>
      <c r="AP127" s="13"/>
      <c r="AQ127" s="13"/>
      <c r="AR127" s="13"/>
      <c r="AS127" s="13"/>
      <c r="AT127" s="13"/>
      <c r="AU127" s="13"/>
      <c r="AV127" s="13"/>
      <c r="AW127" s="13"/>
      <c r="AX127" s="13"/>
      <c r="AY127" s="13"/>
      <c r="AZ127" s="13"/>
      <c r="BA127" s="13"/>
      <c r="BB127" s="13"/>
      <c r="BC127" s="13"/>
      <c r="BD127" s="13"/>
      <c r="BE127" s="13"/>
      <c r="BF127" s="13"/>
      <c r="BG127" s="13"/>
      <c r="BH127" s="13"/>
      <c r="BI127" s="13"/>
      <c r="BJ127" s="13"/>
      <c r="BK127" s="13"/>
      <c r="BL127" s="13"/>
      <c r="BM127" s="13"/>
      <c r="BN127" s="13"/>
      <c r="BO127" s="13"/>
      <c r="BP127" s="13"/>
      <c r="BQ127" s="13"/>
      <c r="BR127" s="13"/>
      <c r="BS127" s="13"/>
      <c r="BT127" s="13"/>
      <c r="BU127" s="13"/>
      <c r="BV127" s="13"/>
      <c r="BW127" s="13"/>
      <c r="BX127" s="13"/>
      <c r="BY127" s="13"/>
    </row>
    <row r="128" spans="7:77" s="64" customFormat="1" x14ac:dyDescent="0.35">
      <c r="G128" s="133"/>
      <c r="H128" s="133"/>
      <c r="I128" s="165"/>
      <c r="AN128" s="13"/>
      <c r="AO128" s="13"/>
      <c r="AP128" s="13"/>
      <c r="AQ128" s="13"/>
      <c r="AR128" s="13"/>
      <c r="AS128" s="13"/>
      <c r="AT128" s="13"/>
      <c r="AU128" s="13"/>
      <c r="AV128" s="13"/>
      <c r="AW128" s="13"/>
      <c r="AX128" s="13"/>
      <c r="AY128" s="13"/>
      <c r="AZ128" s="13"/>
      <c r="BA128" s="13"/>
      <c r="BB128" s="13"/>
      <c r="BC128" s="13"/>
      <c r="BD128" s="13"/>
      <c r="BE128" s="13"/>
      <c r="BF128" s="13"/>
      <c r="BG128" s="13"/>
      <c r="BH128" s="13"/>
      <c r="BI128" s="13"/>
      <c r="BJ128" s="13"/>
      <c r="BK128" s="13"/>
      <c r="BL128" s="13"/>
      <c r="BM128" s="13"/>
      <c r="BN128" s="13"/>
      <c r="BO128" s="13"/>
      <c r="BP128" s="13"/>
      <c r="BQ128" s="13"/>
      <c r="BR128" s="13"/>
      <c r="BS128" s="13"/>
      <c r="BT128" s="13"/>
      <c r="BU128" s="13"/>
      <c r="BV128" s="13"/>
      <c r="BW128" s="13"/>
      <c r="BX128" s="13"/>
      <c r="BY128" s="13"/>
    </row>
    <row r="129" spans="7:77" s="64" customFormat="1" x14ac:dyDescent="0.35">
      <c r="G129" s="133"/>
      <c r="H129" s="133"/>
      <c r="I129" s="165"/>
      <c r="AN129" s="13"/>
      <c r="AO129" s="13"/>
      <c r="AP129" s="13"/>
      <c r="AQ129" s="13"/>
      <c r="AR129" s="13"/>
      <c r="AS129" s="13"/>
      <c r="AT129" s="13"/>
      <c r="AU129" s="13"/>
      <c r="AV129" s="13"/>
      <c r="AW129" s="13"/>
      <c r="AX129" s="13"/>
      <c r="AY129" s="13"/>
      <c r="AZ129" s="13"/>
      <c r="BA129" s="13"/>
      <c r="BB129" s="13"/>
      <c r="BC129" s="13"/>
      <c r="BD129" s="13"/>
      <c r="BE129" s="13"/>
      <c r="BF129" s="13"/>
      <c r="BG129" s="13"/>
      <c r="BH129" s="13"/>
      <c r="BI129" s="13"/>
      <c r="BJ129" s="13"/>
      <c r="BK129" s="13"/>
      <c r="BL129" s="13"/>
      <c r="BM129" s="13"/>
      <c r="BN129" s="13"/>
      <c r="BO129" s="13"/>
      <c r="BP129" s="13"/>
      <c r="BQ129" s="13"/>
      <c r="BR129" s="13"/>
      <c r="BS129" s="13"/>
      <c r="BT129" s="13"/>
      <c r="BU129" s="13"/>
      <c r="BV129" s="13"/>
      <c r="BW129" s="13"/>
      <c r="BX129" s="13"/>
      <c r="BY129" s="13"/>
    </row>
    <row r="130" spans="7:77" s="64" customFormat="1" x14ac:dyDescent="0.35">
      <c r="G130" s="133"/>
      <c r="H130" s="133"/>
      <c r="I130" s="165"/>
      <c r="AN130" s="13"/>
      <c r="AO130" s="13"/>
      <c r="AP130" s="13"/>
      <c r="AQ130" s="13"/>
      <c r="AR130" s="13"/>
      <c r="AS130" s="13"/>
      <c r="AT130" s="13"/>
      <c r="AU130" s="13"/>
      <c r="AV130" s="13"/>
      <c r="AW130" s="13"/>
      <c r="AX130" s="13"/>
      <c r="AY130" s="13"/>
      <c r="AZ130" s="13"/>
      <c r="BA130" s="13"/>
      <c r="BB130" s="13"/>
      <c r="BC130" s="13"/>
      <c r="BD130" s="13"/>
      <c r="BE130" s="13"/>
      <c r="BF130" s="13"/>
      <c r="BG130" s="13"/>
      <c r="BH130" s="13"/>
      <c r="BI130" s="13"/>
      <c r="BJ130" s="13"/>
      <c r="BK130" s="13"/>
      <c r="BL130" s="13"/>
      <c r="BM130" s="13"/>
      <c r="BN130" s="13"/>
      <c r="BO130" s="13"/>
      <c r="BP130" s="13"/>
      <c r="BQ130" s="13"/>
      <c r="BR130" s="13"/>
      <c r="BS130" s="13"/>
      <c r="BT130" s="13"/>
      <c r="BU130" s="13"/>
      <c r="BV130" s="13"/>
      <c r="BW130" s="13"/>
      <c r="BX130" s="13"/>
      <c r="BY130" s="13"/>
    </row>
    <row r="131" spans="7:77" s="64" customFormat="1" x14ac:dyDescent="0.35">
      <c r="G131" s="133"/>
      <c r="H131" s="133"/>
      <c r="I131" s="165"/>
      <c r="AN131" s="13"/>
      <c r="AO131" s="13"/>
      <c r="AP131" s="13"/>
      <c r="AQ131" s="13"/>
      <c r="AR131" s="13"/>
      <c r="AS131" s="13"/>
      <c r="AT131" s="13"/>
      <c r="AU131" s="13"/>
      <c r="AV131" s="13"/>
      <c r="AW131" s="13"/>
      <c r="AX131" s="13"/>
      <c r="AY131" s="13"/>
      <c r="AZ131" s="13"/>
      <c r="BA131" s="13"/>
      <c r="BB131" s="13"/>
      <c r="BC131" s="13"/>
      <c r="BD131" s="13"/>
      <c r="BE131" s="13"/>
      <c r="BF131" s="13"/>
      <c r="BG131" s="13"/>
      <c r="BH131" s="13"/>
      <c r="BI131" s="13"/>
      <c r="BJ131" s="13"/>
      <c r="BK131" s="13"/>
      <c r="BL131" s="13"/>
      <c r="BM131" s="13"/>
      <c r="BN131" s="13"/>
      <c r="BO131" s="13"/>
      <c r="BP131" s="13"/>
      <c r="BQ131" s="13"/>
      <c r="BR131" s="13"/>
      <c r="BS131" s="13"/>
      <c r="BT131" s="13"/>
      <c r="BU131" s="13"/>
      <c r="BV131" s="13"/>
      <c r="BW131" s="13"/>
      <c r="BX131" s="13"/>
      <c r="BY131" s="13"/>
    </row>
    <row r="132" spans="7:77" s="64" customFormat="1" x14ac:dyDescent="0.35">
      <c r="G132" s="133"/>
      <c r="H132" s="133"/>
      <c r="I132" s="165"/>
      <c r="AN132" s="13"/>
      <c r="AO132" s="13"/>
      <c r="AP132" s="13"/>
      <c r="AQ132" s="13"/>
      <c r="AR132" s="13"/>
      <c r="AS132" s="13"/>
      <c r="AT132" s="13"/>
      <c r="AU132" s="13"/>
      <c r="AV132" s="13"/>
      <c r="AW132" s="13"/>
      <c r="AX132" s="13"/>
      <c r="AY132" s="13"/>
      <c r="AZ132" s="13"/>
      <c r="BA132" s="13"/>
      <c r="BB132" s="13"/>
      <c r="BC132" s="13"/>
      <c r="BD132" s="13"/>
      <c r="BE132" s="13"/>
      <c r="BF132" s="13"/>
      <c r="BG132" s="13"/>
      <c r="BH132" s="13"/>
      <c r="BI132" s="13"/>
      <c r="BJ132" s="13"/>
      <c r="BK132" s="13"/>
      <c r="BL132" s="13"/>
      <c r="BM132" s="13"/>
      <c r="BN132" s="13"/>
      <c r="BO132" s="13"/>
      <c r="BP132" s="13"/>
      <c r="BQ132" s="13"/>
      <c r="BR132" s="13"/>
      <c r="BS132" s="13"/>
      <c r="BT132" s="13"/>
      <c r="BU132" s="13"/>
      <c r="BV132" s="13"/>
      <c r="BW132" s="13"/>
      <c r="BX132" s="13"/>
      <c r="BY132" s="13"/>
    </row>
    <row r="133" spans="7:77" s="64" customFormat="1" x14ac:dyDescent="0.35">
      <c r="G133" s="133"/>
      <c r="H133" s="133"/>
      <c r="I133" s="165"/>
      <c r="AN133" s="13"/>
      <c r="AO133" s="13"/>
      <c r="AP133" s="13"/>
      <c r="AQ133" s="13"/>
      <c r="AR133" s="13"/>
      <c r="AS133" s="13"/>
      <c r="AT133" s="13"/>
      <c r="AU133" s="13"/>
      <c r="AV133" s="13"/>
      <c r="AW133" s="13"/>
      <c r="AX133" s="13"/>
      <c r="AY133" s="13"/>
      <c r="AZ133" s="13"/>
      <c r="BA133" s="13"/>
      <c r="BB133" s="13"/>
      <c r="BC133" s="13"/>
      <c r="BD133" s="13"/>
      <c r="BE133" s="13"/>
      <c r="BF133" s="13"/>
      <c r="BG133" s="13"/>
      <c r="BH133" s="13"/>
      <c r="BI133" s="13"/>
      <c r="BJ133" s="13"/>
      <c r="BK133" s="13"/>
      <c r="BL133" s="13"/>
      <c r="BM133" s="13"/>
      <c r="BN133" s="13"/>
      <c r="BO133" s="13"/>
      <c r="BP133" s="13"/>
      <c r="BQ133" s="13"/>
      <c r="BR133" s="13"/>
      <c r="BS133" s="13"/>
      <c r="BT133" s="13"/>
      <c r="BU133" s="13"/>
      <c r="BV133" s="13"/>
      <c r="BW133" s="13"/>
      <c r="BX133" s="13"/>
      <c r="BY133" s="13"/>
    </row>
    <row r="134" spans="7:77" s="64" customFormat="1" x14ac:dyDescent="0.35">
      <c r="G134" s="133"/>
      <c r="H134" s="133"/>
      <c r="I134" s="165"/>
      <c r="AN134" s="13"/>
      <c r="AO134" s="13"/>
      <c r="AP134" s="13"/>
      <c r="AQ134" s="13"/>
      <c r="AR134" s="13"/>
      <c r="AS134" s="13"/>
      <c r="AT134" s="13"/>
      <c r="AU134" s="13"/>
      <c r="AV134" s="13"/>
      <c r="AW134" s="13"/>
      <c r="AX134" s="13"/>
      <c r="AY134" s="13"/>
      <c r="AZ134" s="13"/>
      <c r="BA134" s="13"/>
      <c r="BB134" s="13"/>
      <c r="BC134" s="13"/>
      <c r="BD134" s="13"/>
      <c r="BE134" s="13"/>
      <c r="BF134" s="13"/>
      <c r="BG134" s="13"/>
      <c r="BH134" s="13"/>
      <c r="BI134" s="13"/>
      <c r="BJ134" s="13"/>
      <c r="BK134" s="13"/>
      <c r="BL134" s="13"/>
      <c r="BM134" s="13"/>
      <c r="BN134" s="13"/>
      <c r="BO134" s="13"/>
      <c r="BP134" s="13"/>
      <c r="BQ134" s="13"/>
      <c r="BR134" s="13"/>
      <c r="BS134" s="13"/>
      <c r="BT134" s="13"/>
      <c r="BU134" s="13"/>
      <c r="BV134" s="13"/>
      <c r="BW134" s="13"/>
      <c r="BX134" s="13"/>
      <c r="BY134" s="13"/>
    </row>
    <row r="135" spans="7:77" s="64" customFormat="1" x14ac:dyDescent="0.35">
      <c r="G135" s="133"/>
      <c r="H135" s="133"/>
      <c r="I135" s="165"/>
      <c r="AN135" s="13"/>
      <c r="AO135" s="13"/>
      <c r="AP135" s="13"/>
      <c r="AQ135" s="13"/>
      <c r="AR135" s="13"/>
      <c r="AS135" s="13"/>
      <c r="AT135" s="13"/>
      <c r="AU135" s="13"/>
      <c r="AV135" s="13"/>
      <c r="AW135" s="13"/>
      <c r="AX135" s="13"/>
      <c r="AY135" s="13"/>
      <c r="AZ135" s="13"/>
      <c r="BA135" s="13"/>
      <c r="BB135" s="13"/>
      <c r="BC135" s="13"/>
      <c r="BD135" s="13"/>
      <c r="BE135" s="13"/>
      <c r="BF135" s="13"/>
      <c r="BG135" s="13"/>
      <c r="BH135" s="13"/>
      <c r="BI135" s="13"/>
      <c r="BJ135" s="13"/>
      <c r="BK135" s="13"/>
      <c r="BL135" s="13"/>
      <c r="BM135" s="13"/>
      <c r="BN135" s="13"/>
      <c r="BO135" s="13"/>
      <c r="BP135" s="13"/>
      <c r="BQ135" s="13"/>
      <c r="BR135" s="13"/>
      <c r="BS135" s="13"/>
      <c r="BT135" s="13"/>
      <c r="BU135" s="13"/>
      <c r="BV135" s="13"/>
      <c r="BW135" s="13"/>
      <c r="BX135" s="13"/>
      <c r="BY135" s="13"/>
    </row>
    <row r="136" spans="7:77" s="64" customFormat="1" x14ac:dyDescent="0.35">
      <c r="G136" s="133"/>
      <c r="H136" s="133"/>
      <c r="I136" s="165"/>
      <c r="AN136" s="13"/>
      <c r="AO136" s="13"/>
      <c r="AP136" s="13"/>
      <c r="AQ136" s="13"/>
      <c r="AR136" s="13"/>
      <c r="AS136" s="13"/>
      <c r="AT136" s="13"/>
      <c r="AU136" s="13"/>
      <c r="AV136" s="13"/>
      <c r="AW136" s="13"/>
      <c r="AX136" s="13"/>
      <c r="AY136" s="13"/>
      <c r="AZ136" s="13"/>
      <c r="BA136" s="13"/>
      <c r="BB136" s="13"/>
      <c r="BC136" s="13"/>
      <c r="BD136" s="13"/>
      <c r="BE136" s="13"/>
      <c r="BF136" s="13"/>
      <c r="BG136" s="13"/>
      <c r="BH136" s="13"/>
      <c r="BI136" s="13"/>
      <c r="BJ136" s="13"/>
      <c r="BK136" s="13"/>
      <c r="BL136" s="13"/>
      <c r="BM136" s="13"/>
      <c r="BN136" s="13"/>
      <c r="BO136" s="13"/>
      <c r="BP136" s="13"/>
      <c r="BQ136" s="13"/>
      <c r="BR136" s="13"/>
      <c r="BS136" s="13"/>
      <c r="BT136" s="13"/>
      <c r="BU136" s="13"/>
      <c r="BV136" s="13"/>
      <c r="BW136" s="13"/>
      <c r="BX136" s="13"/>
      <c r="BY136" s="13"/>
    </row>
    <row r="137" spans="7:77" s="64" customFormat="1" x14ac:dyDescent="0.35">
      <c r="G137" s="133"/>
      <c r="H137" s="133"/>
      <c r="I137" s="165"/>
      <c r="AN137" s="13"/>
      <c r="AO137" s="13"/>
      <c r="AP137" s="13"/>
      <c r="AQ137" s="13"/>
      <c r="AR137" s="13"/>
      <c r="AS137" s="13"/>
      <c r="AT137" s="13"/>
      <c r="AU137" s="13"/>
      <c r="AV137" s="13"/>
      <c r="AW137" s="13"/>
      <c r="AX137" s="13"/>
      <c r="AY137" s="13"/>
      <c r="AZ137" s="13"/>
      <c r="BA137" s="13"/>
      <c r="BB137" s="13"/>
      <c r="BC137" s="13"/>
      <c r="BD137" s="13"/>
      <c r="BE137" s="13"/>
      <c r="BF137" s="13"/>
      <c r="BG137" s="13"/>
      <c r="BH137" s="13"/>
      <c r="BI137" s="13"/>
      <c r="BJ137" s="13"/>
      <c r="BK137" s="13"/>
      <c r="BL137" s="13"/>
      <c r="BM137" s="13"/>
      <c r="BN137" s="13"/>
      <c r="BO137" s="13"/>
      <c r="BP137" s="13"/>
      <c r="BQ137" s="13"/>
      <c r="BR137" s="13"/>
      <c r="BS137" s="13"/>
      <c r="BT137" s="13"/>
      <c r="BU137" s="13"/>
      <c r="BV137" s="13"/>
      <c r="BW137" s="13"/>
      <c r="BX137" s="13"/>
      <c r="BY137" s="13"/>
    </row>
    <row r="138" spans="7:77" s="64" customFormat="1" x14ac:dyDescent="0.35">
      <c r="G138" s="133"/>
      <c r="H138" s="133"/>
      <c r="I138" s="165"/>
      <c r="AN138" s="13"/>
      <c r="AO138" s="13"/>
      <c r="AP138" s="13"/>
      <c r="AQ138" s="13"/>
      <c r="AR138" s="13"/>
      <c r="AS138" s="13"/>
      <c r="AT138" s="13"/>
      <c r="AU138" s="13"/>
      <c r="AV138" s="13"/>
      <c r="AW138" s="13"/>
      <c r="AX138" s="13"/>
      <c r="AY138" s="13"/>
      <c r="AZ138" s="13"/>
      <c r="BA138" s="13"/>
      <c r="BB138" s="13"/>
      <c r="BC138" s="13"/>
      <c r="BD138" s="13"/>
      <c r="BE138" s="13"/>
      <c r="BF138" s="13"/>
      <c r="BG138" s="13"/>
      <c r="BH138" s="13"/>
      <c r="BI138" s="13"/>
      <c r="BJ138" s="13"/>
      <c r="BK138" s="13"/>
      <c r="BL138" s="13"/>
      <c r="BM138" s="13"/>
      <c r="BN138" s="13"/>
      <c r="BO138" s="13"/>
      <c r="BP138" s="13"/>
      <c r="BQ138" s="13"/>
      <c r="BR138" s="13"/>
      <c r="BS138" s="13"/>
      <c r="BT138" s="13"/>
      <c r="BU138" s="13"/>
      <c r="BV138" s="13"/>
      <c r="BW138" s="13"/>
      <c r="BX138" s="13"/>
      <c r="BY138" s="13"/>
    </row>
    <row r="139" spans="7:77" s="64" customFormat="1" x14ac:dyDescent="0.35">
      <c r="G139" s="133"/>
      <c r="H139" s="133"/>
      <c r="I139" s="165"/>
      <c r="AN139" s="13"/>
      <c r="AO139" s="13"/>
      <c r="AP139" s="13"/>
      <c r="AQ139" s="13"/>
      <c r="AR139" s="13"/>
      <c r="AS139" s="13"/>
      <c r="AT139" s="13"/>
      <c r="AU139" s="13"/>
      <c r="AV139" s="13"/>
      <c r="AW139" s="13"/>
      <c r="AX139" s="13"/>
      <c r="AY139" s="13"/>
      <c r="AZ139" s="13"/>
      <c r="BA139" s="13"/>
      <c r="BB139" s="13"/>
      <c r="BC139" s="13"/>
      <c r="BD139" s="13"/>
      <c r="BE139" s="13"/>
      <c r="BF139" s="13"/>
      <c r="BG139" s="13"/>
      <c r="BH139" s="13"/>
      <c r="BI139" s="13"/>
      <c r="BJ139" s="13"/>
      <c r="BK139" s="13"/>
      <c r="BL139" s="13"/>
      <c r="BM139" s="13"/>
      <c r="BN139" s="13"/>
      <c r="BO139" s="13"/>
      <c r="BP139" s="13"/>
      <c r="BQ139" s="13"/>
      <c r="BR139" s="13"/>
      <c r="BS139" s="13"/>
      <c r="BT139" s="13"/>
      <c r="BU139" s="13"/>
      <c r="BV139" s="13"/>
      <c r="BW139" s="13"/>
      <c r="BX139" s="13"/>
      <c r="BY139" s="13"/>
    </row>
    <row r="140" spans="7:77" s="64" customFormat="1" x14ac:dyDescent="0.35">
      <c r="G140" s="133"/>
      <c r="H140" s="133"/>
      <c r="I140" s="165"/>
      <c r="AN140" s="13"/>
      <c r="AO140" s="13"/>
      <c r="AP140" s="13"/>
      <c r="AQ140" s="13"/>
      <c r="AR140" s="13"/>
      <c r="AS140" s="13"/>
      <c r="AT140" s="13"/>
      <c r="AU140" s="13"/>
      <c r="AV140" s="13"/>
      <c r="AW140" s="13"/>
      <c r="AX140" s="13"/>
      <c r="AY140" s="13"/>
      <c r="AZ140" s="13"/>
      <c r="BA140" s="13"/>
      <c r="BB140" s="13"/>
      <c r="BC140" s="13"/>
      <c r="BD140" s="13"/>
      <c r="BE140" s="13"/>
      <c r="BF140" s="13"/>
      <c r="BG140" s="13"/>
      <c r="BH140" s="13"/>
      <c r="BI140" s="13"/>
      <c r="BJ140" s="13"/>
      <c r="BK140" s="13"/>
      <c r="BL140" s="13"/>
      <c r="BM140" s="13"/>
      <c r="BN140" s="13"/>
      <c r="BO140" s="13"/>
      <c r="BP140" s="13"/>
      <c r="BQ140" s="13"/>
      <c r="BR140" s="13"/>
      <c r="BS140" s="13"/>
      <c r="BT140" s="13"/>
      <c r="BU140" s="13"/>
      <c r="BV140" s="13"/>
      <c r="BW140" s="13"/>
      <c r="BX140" s="13"/>
      <c r="BY140" s="13"/>
    </row>
    <row r="141" spans="7:77" s="64" customFormat="1" x14ac:dyDescent="0.35">
      <c r="G141" s="133"/>
      <c r="H141" s="133"/>
      <c r="I141" s="165"/>
      <c r="AN141" s="13"/>
      <c r="AO141" s="13"/>
      <c r="AP141" s="13"/>
      <c r="AQ141" s="13"/>
      <c r="AR141" s="13"/>
      <c r="AS141" s="13"/>
      <c r="AT141" s="13"/>
      <c r="AU141" s="13"/>
      <c r="AV141" s="13"/>
      <c r="AW141" s="13"/>
      <c r="AX141" s="13"/>
      <c r="AY141" s="13"/>
      <c r="AZ141" s="13"/>
      <c r="BA141" s="13"/>
      <c r="BB141" s="13"/>
      <c r="BC141" s="13"/>
      <c r="BD141" s="13"/>
      <c r="BE141" s="13"/>
      <c r="BF141" s="13"/>
      <c r="BG141" s="13"/>
      <c r="BH141" s="13"/>
      <c r="BI141" s="13"/>
      <c r="BJ141" s="13"/>
      <c r="BK141" s="13"/>
      <c r="BL141" s="13"/>
      <c r="BM141" s="13"/>
      <c r="BN141" s="13"/>
      <c r="BO141" s="13"/>
      <c r="BP141" s="13"/>
      <c r="BQ141" s="13"/>
      <c r="BR141" s="13"/>
      <c r="BS141" s="13"/>
      <c r="BT141" s="13"/>
      <c r="BU141" s="13"/>
      <c r="BV141" s="13"/>
      <c r="BW141" s="13"/>
      <c r="BX141" s="13"/>
      <c r="BY141" s="13"/>
    </row>
    <row r="142" spans="7:77" s="64" customFormat="1" x14ac:dyDescent="0.35">
      <c r="G142" s="133"/>
      <c r="H142" s="133"/>
      <c r="I142" s="165"/>
      <c r="AN142" s="13"/>
      <c r="AO142" s="13"/>
      <c r="AP142" s="13"/>
      <c r="AQ142" s="13"/>
      <c r="AR142" s="13"/>
      <c r="AS142" s="13"/>
      <c r="AT142" s="13"/>
      <c r="AU142" s="13"/>
      <c r="AV142" s="13"/>
      <c r="AW142" s="13"/>
      <c r="AX142" s="13"/>
      <c r="AY142" s="13"/>
      <c r="AZ142" s="13"/>
      <c r="BA142" s="13"/>
      <c r="BB142" s="13"/>
      <c r="BC142" s="13"/>
      <c r="BD142" s="13"/>
      <c r="BE142" s="13"/>
      <c r="BF142" s="13"/>
      <c r="BG142" s="13"/>
      <c r="BH142" s="13"/>
      <c r="BI142" s="13"/>
      <c r="BJ142" s="13"/>
      <c r="BK142" s="13"/>
      <c r="BL142" s="13"/>
      <c r="BM142" s="13"/>
      <c r="BN142" s="13"/>
      <c r="BO142" s="13"/>
      <c r="BP142" s="13"/>
      <c r="BQ142" s="13"/>
      <c r="BR142" s="13"/>
      <c r="BS142" s="13"/>
      <c r="BT142" s="13"/>
      <c r="BU142" s="13"/>
      <c r="BV142" s="13"/>
      <c r="BW142" s="13"/>
      <c r="BX142" s="13"/>
      <c r="BY142" s="13"/>
    </row>
    <row r="143" spans="7:77" s="64" customFormat="1" x14ac:dyDescent="0.35">
      <c r="G143" s="133"/>
      <c r="H143" s="133"/>
      <c r="I143" s="165"/>
      <c r="AN143" s="13"/>
      <c r="AO143" s="13"/>
      <c r="AP143" s="13"/>
      <c r="AQ143" s="13"/>
      <c r="AR143" s="13"/>
      <c r="AS143" s="13"/>
      <c r="AT143" s="13"/>
      <c r="AU143" s="13"/>
      <c r="AV143" s="13"/>
      <c r="AW143" s="13"/>
      <c r="AX143" s="13"/>
      <c r="AY143" s="13"/>
      <c r="AZ143" s="13"/>
      <c r="BA143" s="13"/>
      <c r="BB143" s="13"/>
      <c r="BC143" s="13"/>
      <c r="BD143" s="13"/>
      <c r="BE143" s="13"/>
      <c r="BF143" s="13"/>
      <c r="BG143" s="13"/>
      <c r="BH143" s="13"/>
      <c r="BI143" s="13"/>
      <c r="BJ143" s="13"/>
      <c r="BK143" s="13"/>
      <c r="BL143" s="13"/>
      <c r="BM143" s="13"/>
      <c r="BN143" s="13"/>
      <c r="BO143" s="13"/>
      <c r="BP143" s="13"/>
      <c r="BQ143" s="13"/>
      <c r="BR143" s="13"/>
      <c r="BS143" s="13"/>
      <c r="BT143" s="13"/>
      <c r="BU143" s="13"/>
      <c r="BV143" s="13"/>
      <c r="BW143" s="13"/>
      <c r="BX143" s="13"/>
      <c r="BY143" s="13"/>
    </row>
    <row r="144" spans="7:77" s="64" customFormat="1" x14ac:dyDescent="0.35">
      <c r="G144" s="133"/>
      <c r="H144" s="133"/>
      <c r="I144" s="165"/>
      <c r="AN144" s="13"/>
      <c r="AO144" s="13"/>
      <c r="AP144" s="13"/>
      <c r="AQ144" s="13"/>
      <c r="AR144" s="13"/>
      <c r="AS144" s="13"/>
      <c r="AT144" s="13"/>
      <c r="AU144" s="13"/>
      <c r="AV144" s="13"/>
      <c r="AW144" s="13"/>
      <c r="AX144" s="13"/>
      <c r="AY144" s="13"/>
      <c r="AZ144" s="13"/>
      <c r="BA144" s="13"/>
      <c r="BB144" s="13"/>
      <c r="BC144" s="13"/>
      <c r="BD144" s="13"/>
      <c r="BE144" s="13"/>
      <c r="BF144" s="13"/>
      <c r="BG144" s="13"/>
      <c r="BH144" s="13"/>
      <c r="BI144" s="13"/>
      <c r="BJ144" s="13"/>
      <c r="BK144" s="13"/>
      <c r="BL144" s="13"/>
      <c r="BM144" s="13"/>
      <c r="BN144" s="13"/>
      <c r="BO144" s="13"/>
      <c r="BP144" s="13"/>
      <c r="BQ144" s="13"/>
      <c r="BR144" s="13"/>
      <c r="BS144" s="13"/>
      <c r="BT144" s="13"/>
      <c r="BU144" s="13"/>
      <c r="BV144" s="13"/>
      <c r="BW144" s="13"/>
      <c r="BX144" s="13"/>
      <c r="BY144" s="13"/>
    </row>
    <row r="145" spans="1:77" s="64" customFormat="1" x14ac:dyDescent="0.35">
      <c r="G145" s="133"/>
      <c r="H145" s="133"/>
      <c r="I145" s="165"/>
      <c r="AN145" s="13"/>
      <c r="AO145" s="13"/>
      <c r="AP145" s="13"/>
      <c r="AQ145" s="13"/>
      <c r="AR145" s="13"/>
      <c r="AS145" s="13"/>
      <c r="AT145" s="13"/>
      <c r="AU145" s="13"/>
      <c r="AV145" s="13"/>
      <c r="AW145" s="13"/>
      <c r="AX145" s="13"/>
      <c r="AY145" s="13"/>
      <c r="AZ145" s="13"/>
      <c r="BA145" s="13"/>
      <c r="BB145" s="13"/>
      <c r="BC145" s="13"/>
      <c r="BD145" s="13"/>
      <c r="BE145" s="13"/>
      <c r="BF145" s="13"/>
      <c r="BG145" s="13"/>
      <c r="BH145" s="13"/>
      <c r="BI145" s="13"/>
      <c r="BJ145" s="13"/>
      <c r="BK145" s="13"/>
      <c r="BL145" s="13"/>
      <c r="BM145" s="13"/>
      <c r="BN145" s="13"/>
      <c r="BO145" s="13"/>
      <c r="BP145" s="13"/>
      <c r="BQ145" s="13"/>
      <c r="BR145" s="13"/>
      <c r="BS145" s="13"/>
      <c r="BT145" s="13"/>
      <c r="BU145" s="13"/>
      <c r="BV145" s="13"/>
      <c r="BW145" s="13"/>
      <c r="BX145" s="13"/>
      <c r="BY145" s="13"/>
    </row>
    <row r="146" spans="1:77" s="64" customFormat="1" x14ac:dyDescent="0.35">
      <c r="G146" s="133"/>
      <c r="H146" s="133"/>
      <c r="I146" s="165"/>
      <c r="AN146" s="13"/>
      <c r="AO146" s="13"/>
      <c r="AP146" s="13"/>
      <c r="AQ146" s="13"/>
      <c r="AR146" s="13"/>
      <c r="AS146" s="13"/>
      <c r="AT146" s="13"/>
      <c r="AU146" s="13"/>
      <c r="AV146" s="13"/>
      <c r="AW146" s="13"/>
      <c r="AX146" s="13"/>
      <c r="AY146" s="13"/>
      <c r="AZ146" s="13"/>
      <c r="BA146" s="13"/>
      <c r="BB146" s="13"/>
      <c r="BC146" s="13"/>
      <c r="BD146" s="13"/>
      <c r="BE146" s="13"/>
      <c r="BF146" s="13"/>
      <c r="BG146" s="13"/>
      <c r="BH146" s="13"/>
      <c r="BI146" s="13"/>
      <c r="BJ146" s="13"/>
      <c r="BK146" s="13"/>
      <c r="BL146" s="13"/>
      <c r="BM146" s="13"/>
      <c r="BN146" s="13"/>
      <c r="BO146" s="13"/>
      <c r="BP146" s="13"/>
      <c r="BQ146" s="13"/>
      <c r="BR146" s="13"/>
      <c r="BS146" s="13"/>
      <c r="BT146" s="13"/>
      <c r="BU146" s="13"/>
      <c r="BV146" s="13"/>
      <c r="BW146" s="13"/>
      <c r="BX146" s="13"/>
      <c r="BY146" s="13"/>
    </row>
    <row r="147" spans="1:77" s="64" customFormat="1" x14ac:dyDescent="0.35">
      <c r="G147" s="133"/>
      <c r="H147" s="133"/>
      <c r="I147" s="165"/>
      <c r="AN147" s="13"/>
      <c r="AO147" s="13"/>
      <c r="AP147" s="13"/>
      <c r="AQ147" s="13"/>
      <c r="AR147" s="13"/>
      <c r="AS147" s="13"/>
      <c r="AT147" s="13"/>
      <c r="AU147" s="13"/>
      <c r="AV147" s="13"/>
      <c r="AW147" s="13"/>
      <c r="AX147" s="13"/>
      <c r="AY147" s="13"/>
      <c r="AZ147" s="13"/>
      <c r="BA147" s="13"/>
      <c r="BB147" s="13"/>
      <c r="BC147" s="13"/>
      <c r="BD147" s="13"/>
      <c r="BE147" s="13"/>
      <c r="BF147" s="13"/>
      <c r="BG147" s="13"/>
      <c r="BH147" s="13"/>
      <c r="BI147" s="13"/>
      <c r="BJ147" s="13"/>
      <c r="BK147" s="13"/>
      <c r="BL147" s="13"/>
      <c r="BM147" s="13"/>
      <c r="BN147" s="13"/>
      <c r="BO147" s="13"/>
      <c r="BP147" s="13"/>
      <c r="BQ147" s="13"/>
      <c r="BR147" s="13"/>
      <c r="BS147" s="13"/>
      <c r="BT147" s="13"/>
      <c r="BU147" s="13"/>
      <c r="BV147" s="13"/>
      <c r="BW147" s="13"/>
      <c r="BX147" s="13"/>
      <c r="BY147" s="13"/>
    </row>
    <row r="148" spans="1:77" s="64" customFormat="1" x14ac:dyDescent="0.35">
      <c r="A148" s="13"/>
      <c r="B148" s="13"/>
      <c r="C148" s="13"/>
      <c r="D148" s="13"/>
      <c r="E148" s="13"/>
      <c r="F148" s="13"/>
      <c r="G148" s="170"/>
      <c r="H148" s="170"/>
      <c r="I148" s="167"/>
      <c r="M148" s="13"/>
      <c r="AN148" s="13"/>
      <c r="AO148" s="13"/>
      <c r="AP148" s="13"/>
      <c r="AQ148" s="13"/>
      <c r="AR148" s="13"/>
      <c r="AS148" s="13"/>
      <c r="AT148" s="13"/>
      <c r="AU148" s="13"/>
      <c r="AV148" s="13"/>
      <c r="AW148" s="13"/>
      <c r="AX148" s="13"/>
      <c r="AY148" s="13"/>
      <c r="AZ148" s="13"/>
      <c r="BA148" s="13"/>
      <c r="BB148" s="13"/>
      <c r="BC148" s="13"/>
      <c r="BD148" s="13"/>
      <c r="BE148" s="13"/>
      <c r="BF148" s="13"/>
      <c r="BG148" s="13"/>
      <c r="BH148" s="13"/>
      <c r="BI148" s="13"/>
      <c r="BJ148" s="13"/>
      <c r="BK148" s="13"/>
      <c r="BL148" s="13"/>
      <c r="BM148" s="13"/>
      <c r="BN148" s="13"/>
      <c r="BO148" s="13"/>
      <c r="BP148" s="13"/>
      <c r="BQ148" s="13"/>
      <c r="BR148" s="13"/>
      <c r="BS148" s="13"/>
      <c r="BT148" s="13"/>
      <c r="BU148" s="13"/>
      <c r="BV148" s="13"/>
      <c r="BW148" s="13"/>
      <c r="BX148" s="13"/>
      <c r="BY148" s="13"/>
    </row>
    <row r="149" spans="1:77" s="13" customFormat="1" x14ac:dyDescent="0.35">
      <c r="A149" s="1"/>
      <c r="B149" s="1"/>
      <c r="C149" s="1"/>
      <c r="D149" s="1"/>
      <c r="E149" s="1"/>
      <c r="F149" s="1"/>
      <c r="G149" s="171"/>
      <c r="H149" s="171"/>
      <c r="I149" s="167"/>
      <c r="J149" s="64"/>
      <c r="K149" s="64"/>
      <c r="L149" s="64"/>
      <c r="M149" s="1"/>
      <c r="N149" s="64"/>
      <c r="O149" s="64"/>
      <c r="P149" s="64"/>
      <c r="Q149" s="64"/>
      <c r="R149" s="64"/>
      <c r="S149" s="64"/>
      <c r="T149" s="64"/>
      <c r="U149" s="64"/>
      <c r="V149" s="64"/>
      <c r="W149" s="64"/>
      <c r="X149" s="64"/>
      <c r="Y149" s="64"/>
      <c r="Z149" s="64"/>
      <c r="AA149" s="64"/>
      <c r="AB149" s="64"/>
      <c r="AC149" s="64"/>
      <c r="AD149" s="64"/>
      <c r="AE149" s="64"/>
      <c r="AF149" s="64"/>
      <c r="AG149" s="64"/>
      <c r="AH149" s="64"/>
      <c r="AI149" s="64"/>
      <c r="AJ149" s="64"/>
      <c r="AK149" s="64"/>
      <c r="AL149" s="64"/>
      <c r="AM149" s="64"/>
    </row>
  </sheetData>
  <sheetProtection algorithmName="SHA-512" hashValue="ec6ypxw5YmtKVuc+OVPS3mG/a86ZrXnbbVZvOLTNlcLuBqYcL1nJ4cPpAhYa8uUPLL3WZ+5pD2hqnTyEv1aeAA==" saltValue="3o9EOp9JgIYKGTrcC4FbMA==" spinCount="100000" sheet="1" objects="1" scenarios="1"/>
  <protectedRanges>
    <protectedRange sqref="C13:C20 D17:D20" name="Range1"/>
  </protectedRanges>
  <mergeCells count="6">
    <mergeCell ref="C3:E3"/>
    <mergeCell ref="B8:E8"/>
    <mergeCell ref="B4:E4"/>
    <mergeCell ref="B5:E5"/>
    <mergeCell ref="B6:E6"/>
    <mergeCell ref="B7:E7"/>
  </mergeCells>
  <pageMargins left="0.7" right="0.7" top="0.75" bottom="0.75" header="0.3" footer="0.3"/>
  <pageSetup orientation="portrait" r:id="rId1"/>
  <ignoredErrors>
    <ignoredError sqref="I17:I18 H19:I20" emptyCellReference="1"/>
    <ignoredError sqref="E18" formula="1"/>
  </ignoredError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300-000001000000}">
          <x14:formula1>
            <xm:f>Assumptions!$T$3:$T$25</xm:f>
          </x14:formula1>
          <xm:sqref>C13</xm:sqref>
        </x14:dataValidation>
        <x14:dataValidation type="list" allowBlank="1" showInputMessage="1" showErrorMessage="1" xr:uid="{00000000-0002-0000-0300-000000000000}">
          <x14:formula1>
            <xm:f>Assumptions!$U$3:$U$4</xm:f>
          </x14:formula1>
          <xm:sqref>C16 D17:D20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>
    <tabColor rgb="FF5B9BD5"/>
  </sheetPr>
  <dimension ref="A1:BZ149"/>
  <sheetViews>
    <sheetView topLeftCell="A12" zoomScale="115" zoomScaleNormal="115" zoomScalePageLayoutView="80" workbookViewId="0">
      <selection activeCell="E14" sqref="E14"/>
    </sheetView>
  </sheetViews>
  <sheetFormatPr defaultColWidth="8.7265625" defaultRowHeight="14.5" x14ac:dyDescent="0.35"/>
  <cols>
    <col min="1" max="1" width="3.7265625" style="1" customWidth="1"/>
    <col min="2" max="2" width="57.7265625" style="1" customWidth="1"/>
    <col min="3" max="3" width="12.7265625" style="1" customWidth="1"/>
    <col min="4" max="4" width="15.26953125" style="1" customWidth="1"/>
    <col min="5" max="5" width="15" style="1" customWidth="1"/>
    <col min="6" max="6" width="4.7265625" style="1" customWidth="1"/>
    <col min="7" max="7" width="12.26953125" style="18" hidden="1" customWidth="1"/>
    <col min="8" max="8" width="10.26953125" style="18" hidden="1" customWidth="1"/>
    <col min="9" max="9" width="11" style="13" hidden="1" customWidth="1"/>
    <col min="10" max="10" width="22.453125" style="64" hidden="1" customWidth="1"/>
    <col min="11" max="11" width="7.7265625" style="64" hidden="1" customWidth="1"/>
    <col min="12" max="12" width="8" style="64" hidden="1" customWidth="1"/>
    <col min="13" max="13" width="8.453125" style="1" hidden="1" customWidth="1"/>
    <col min="14" max="14" width="13.7265625" style="64" hidden="1" customWidth="1"/>
    <col min="15" max="17" width="8.453125" style="64" hidden="1" customWidth="1"/>
    <col min="18" max="18" width="26.26953125" style="64" customWidth="1"/>
    <col min="19" max="30" width="8.453125" style="64" customWidth="1"/>
    <col min="31" max="45" width="8.453125" style="13" customWidth="1"/>
    <col min="46" max="78" width="8.7265625" style="13"/>
    <col min="79" max="16384" width="8.7265625" style="1"/>
  </cols>
  <sheetData>
    <row r="1" spans="1:78" s="66" customFormat="1" ht="32.25" customHeight="1" x14ac:dyDescent="0.35">
      <c r="A1" s="63" t="s">
        <v>129</v>
      </c>
      <c r="B1" s="64"/>
      <c r="C1" s="64"/>
      <c r="D1" s="64"/>
      <c r="E1" s="64"/>
      <c r="G1" s="127"/>
      <c r="H1" s="127"/>
      <c r="I1" s="64" t="s">
        <v>1</v>
      </c>
      <c r="AE1" s="503"/>
      <c r="AF1" s="503"/>
      <c r="AG1" s="503"/>
      <c r="AH1" s="503"/>
      <c r="AI1" s="503"/>
      <c r="AJ1" s="503"/>
      <c r="AK1" s="503"/>
      <c r="AL1" s="503"/>
      <c r="AM1" s="503"/>
      <c r="AN1" s="503"/>
      <c r="AO1" s="503"/>
      <c r="AP1" s="503"/>
      <c r="AQ1" s="503"/>
      <c r="AR1" s="503"/>
      <c r="AS1" s="503"/>
      <c r="AT1" s="503"/>
      <c r="AU1" s="503"/>
      <c r="AV1" s="503"/>
      <c r="AW1" s="503"/>
      <c r="AX1" s="503"/>
      <c r="AY1" s="503"/>
      <c r="AZ1" s="503"/>
      <c r="BA1" s="503"/>
      <c r="BB1" s="503"/>
      <c r="BC1" s="503"/>
      <c r="BD1" s="503"/>
      <c r="BE1" s="503"/>
      <c r="BF1" s="503"/>
      <c r="BG1" s="503"/>
      <c r="BH1" s="503"/>
      <c r="BI1" s="503"/>
      <c r="BJ1" s="503"/>
      <c r="BK1" s="503"/>
      <c r="BL1" s="503"/>
      <c r="BM1" s="503"/>
      <c r="BN1" s="503"/>
      <c r="BO1" s="503"/>
      <c r="BP1" s="503"/>
      <c r="BQ1" s="503"/>
      <c r="BR1" s="503"/>
      <c r="BS1" s="503"/>
      <c r="BT1" s="503"/>
      <c r="BU1" s="503"/>
      <c r="BV1" s="503"/>
      <c r="BW1" s="503"/>
      <c r="BX1" s="503"/>
      <c r="BY1" s="503"/>
      <c r="BZ1" s="503"/>
    </row>
    <row r="2" spans="1:78" s="66" customFormat="1" ht="18" customHeight="1" x14ac:dyDescent="0.35">
      <c r="A2" s="63"/>
      <c r="B2" s="64"/>
      <c r="C2" s="64"/>
      <c r="D2" s="64"/>
      <c r="E2" s="64"/>
      <c r="G2" s="127"/>
      <c r="H2" s="127"/>
      <c r="I2" s="64"/>
      <c r="AE2" s="503"/>
      <c r="AF2" s="503"/>
      <c r="AG2" s="503"/>
      <c r="AH2" s="503"/>
      <c r="AI2" s="503"/>
      <c r="AJ2" s="503"/>
      <c r="AK2" s="503"/>
      <c r="AL2" s="503"/>
      <c r="AM2" s="503"/>
      <c r="AN2" s="503"/>
      <c r="AO2" s="503"/>
      <c r="AP2" s="503"/>
      <c r="AQ2" s="503"/>
      <c r="AR2" s="503"/>
      <c r="AS2" s="503"/>
      <c r="AT2" s="503"/>
      <c r="AU2" s="503"/>
      <c r="AV2" s="503"/>
      <c r="AW2" s="503"/>
      <c r="AX2" s="503"/>
      <c r="AY2" s="503"/>
      <c r="AZ2" s="503"/>
      <c r="BA2" s="503"/>
      <c r="BB2" s="503"/>
      <c r="BC2" s="503"/>
      <c r="BD2" s="503"/>
      <c r="BE2" s="503"/>
      <c r="BF2" s="503"/>
      <c r="BG2" s="503"/>
      <c r="BH2" s="503"/>
      <c r="BI2" s="503"/>
      <c r="BJ2" s="503"/>
      <c r="BK2" s="503"/>
      <c r="BL2" s="503"/>
      <c r="BM2" s="503"/>
      <c r="BN2" s="503"/>
      <c r="BO2" s="503"/>
      <c r="BP2" s="503"/>
      <c r="BQ2" s="503"/>
      <c r="BR2" s="503"/>
      <c r="BS2" s="503"/>
      <c r="BT2" s="503"/>
      <c r="BU2" s="503"/>
      <c r="BV2" s="503"/>
      <c r="BW2" s="503"/>
      <c r="BX2" s="503"/>
      <c r="BY2" s="503"/>
      <c r="BZ2" s="503"/>
    </row>
    <row r="3" spans="1:78" s="66" customFormat="1" ht="16.5" customHeight="1" x14ac:dyDescent="0.35">
      <c r="A3" s="185"/>
      <c r="B3" s="61" t="s">
        <v>77</v>
      </c>
      <c r="C3" s="549"/>
      <c r="D3" s="549"/>
      <c r="E3" s="549"/>
      <c r="F3" s="184"/>
      <c r="G3" s="127"/>
      <c r="H3" s="127"/>
      <c r="I3" s="64"/>
      <c r="AE3" s="503"/>
      <c r="AF3" s="503"/>
      <c r="AG3" s="503"/>
      <c r="AH3" s="503"/>
      <c r="AI3" s="503"/>
      <c r="AJ3" s="503"/>
      <c r="AK3" s="503"/>
      <c r="AL3" s="503"/>
      <c r="AM3" s="503"/>
      <c r="AN3" s="503"/>
      <c r="AO3" s="503"/>
      <c r="AP3" s="503"/>
      <c r="AQ3" s="503"/>
      <c r="AR3" s="503"/>
      <c r="AS3" s="503"/>
      <c r="AT3" s="503"/>
      <c r="AU3" s="503"/>
      <c r="AV3" s="503"/>
      <c r="AW3" s="503"/>
      <c r="AX3" s="503"/>
      <c r="AY3" s="503"/>
      <c r="AZ3" s="503"/>
      <c r="BA3" s="503"/>
      <c r="BB3" s="503"/>
      <c r="BC3" s="503"/>
      <c r="BD3" s="503"/>
      <c r="BE3" s="503"/>
      <c r="BF3" s="503"/>
      <c r="BG3" s="503"/>
      <c r="BH3" s="503"/>
      <c r="BI3" s="503"/>
      <c r="BJ3" s="503"/>
      <c r="BK3" s="503"/>
      <c r="BL3" s="503"/>
      <c r="BM3" s="503"/>
      <c r="BN3" s="503"/>
      <c r="BO3" s="503"/>
      <c r="BP3" s="503"/>
      <c r="BQ3" s="503"/>
      <c r="BR3" s="503"/>
      <c r="BS3" s="503"/>
      <c r="BT3" s="503"/>
      <c r="BU3" s="503"/>
      <c r="BV3" s="503"/>
      <c r="BW3" s="503"/>
      <c r="BX3" s="503"/>
      <c r="BY3" s="503"/>
      <c r="BZ3" s="503"/>
    </row>
    <row r="4" spans="1:78" customFormat="1" ht="23.5" x14ac:dyDescent="0.35">
      <c r="A4" s="186"/>
      <c r="B4" s="550" t="s">
        <v>78</v>
      </c>
      <c r="C4" s="550"/>
      <c r="D4" s="550"/>
      <c r="E4" s="550"/>
      <c r="F4" s="187"/>
      <c r="G4" s="66"/>
      <c r="H4" s="64"/>
      <c r="I4" s="64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  <c r="AD4" s="66"/>
      <c r="AE4" s="503"/>
      <c r="AF4" s="503"/>
      <c r="AG4" s="503"/>
      <c r="AH4" s="503"/>
      <c r="AI4" s="503"/>
      <c r="AJ4" s="503"/>
      <c r="AK4" s="503"/>
      <c r="AL4" s="503"/>
      <c r="AM4" s="503"/>
      <c r="AN4" s="50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  <c r="BO4" s="13"/>
      <c r="BP4" s="13"/>
      <c r="BQ4" s="13"/>
      <c r="BR4" s="13"/>
      <c r="BS4" s="13"/>
      <c r="BT4" s="13"/>
      <c r="BU4" s="13"/>
      <c r="BV4" s="13"/>
      <c r="BW4" s="13"/>
      <c r="BX4" s="13"/>
      <c r="BY4" s="13"/>
      <c r="BZ4" s="13"/>
    </row>
    <row r="5" spans="1:78" customFormat="1" ht="30" customHeight="1" x14ac:dyDescent="0.35">
      <c r="A5" s="186"/>
      <c r="B5" s="551" t="s">
        <v>79</v>
      </c>
      <c r="C5" s="551"/>
      <c r="D5" s="551"/>
      <c r="E5" s="551"/>
      <c r="F5" s="187"/>
      <c r="G5" s="66"/>
      <c r="H5" s="64"/>
      <c r="I5" s="64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66"/>
      <c r="W5" s="66"/>
      <c r="X5" s="66"/>
      <c r="Y5" s="66"/>
      <c r="Z5" s="66"/>
      <c r="AA5" s="66"/>
      <c r="AB5" s="66"/>
      <c r="AC5" s="66"/>
      <c r="AD5" s="66"/>
      <c r="AE5" s="503"/>
      <c r="AF5" s="503"/>
      <c r="AG5" s="503"/>
      <c r="AH5" s="503"/>
      <c r="AI5" s="503"/>
      <c r="AJ5" s="503"/>
      <c r="AK5" s="503"/>
      <c r="AL5" s="503"/>
      <c r="AM5" s="503"/>
      <c r="AN5" s="50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  <c r="BO5" s="13"/>
      <c r="BP5" s="13"/>
      <c r="BQ5" s="13"/>
      <c r="BR5" s="13"/>
      <c r="BS5" s="13"/>
      <c r="BT5" s="13"/>
      <c r="BU5" s="13"/>
      <c r="BV5" s="13"/>
      <c r="BW5" s="13"/>
      <c r="BX5" s="13"/>
      <c r="BY5" s="13"/>
      <c r="BZ5" s="13"/>
    </row>
    <row r="6" spans="1:78" customFormat="1" ht="29.25" customHeight="1" x14ac:dyDescent="0.35">
      <c r="A6" s="186"/>
      <c r="B6" s="552" t="s">
        <v>80</v>
      </c>
      <c r="C6" s="552"/>
      <c r="D6" s="552"/>
      <c r="E6" s="552"/>
      <c r="F6" s="187"/>
      <c r="G6" s="66"/>
      <c r="H6" s="64"/>
      <c r="I6" s="64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  <c r="AA6" s="66"/>
      <c r="AB6" s="66"/>
      <c r="AC6" s="66"/>
      <c r="AD6" s="66"/>
      <c r="AE6" s="503"/>
      <c r="AF6" s="503"/>
      <c r="AG6" s="503"/>
      <c r="AH6" s="503"/>
      <c r="AI6" s="503"/>
      <c r="AJ6" s="503"/>
      <c r="AK6" s="503"/>
      <c r="AL6" s="503"/>
      <c r="AM6" s="503"/>
      <c r="AN6" s="50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  <c r="BO6" s="13"/>
      <c r="BP6" s="13"/>
      <c r="BQ6" s="13"/>
      <c r="BR6" s="13"/>
      <c r="BS6" s="13"/>
      <c r="BT6" s="13"/>
      <c r="BU6" s="13"/>
      <c r="BV6" s="13"/>
      <c r="BW6" s="13"/>
      <c r="BX6" s="13"/>
      <c r="BY6" s="13"/>
      <c r="BZ6" s="13"/>
    </row>
    <row r="7" spans="1:78" customFormat="1" ht="27" customHeight="1" x14ac:dyDescent="0.35">
      <c r="A7" s="186"/>
      <c r="B7" s="553" t="s">
        <v>81</v>
      </c>
      <c r="C7" s="553"/>
      <c r="D7" s="553"/>
      <c r="E7" s="553"/>
      <c r="F7" s="187"/>
      <c r="G7" s="66"/>
      <c r="H7" s="64"/>
      <c r="I7" s="64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66"/>
      <c r="Y7" s="66"/>
      <c r="Z7" s="66"/>
      <c r="AA7" s="66"/>
      <c r="AB7" s="66"/>
      <c r="AC7" s="66"/>
      <c r="AD7" s="66"/>
      <c r="AE7" s="503"/>
      <c r="AF7" s="503"/>
      <c r="AG7" s="503"/>
      <c r="AH7" s="503"/>
      <c r="AI7" s="503"/>
      <c r="AJ7" s="503"/>
      <c r="AK7" s="503"/>
      <c r="AL7" s="503"/>
      <c r="AM7" s="503"/>
      <c r="AN7" s="50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  <c r="BO7" s="13"/>
      <c r="BP7" s="13"/>
      <c r="BQ7" s="13"/>
      <c r="BR7" s="13"/>
      <c r="BS7" s="13"/>
      <c r="BT7" s="13"/>
      <c r="BU7" s="13"/>
      <c r="BV7" s="13"/>
      <c r="BW7" s="13"/>
      <c r="BX7" s="13"/>
      <c r="BY7" s="13"/>
      <c r="BZ7" s="13"/>
    </row>
    <row r="8" spans="1:78" customFormat="1" ht="23.5" x14ac:dyDescent="0.35">
      <c r="A8" s="186"/>
      <c r="B8" s="548" t="s">
        <v>82</v>
      </c>
      <c r="C8" s="548"/>
      <c r="D8" s="548"/>
      <c r="E8" s="548"/>
      <c r="F8" s="187"/>
      <c r="G8" s="66"/>
      <c r="H8" s="64"/>
      <c r="I8" s="64"/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  <c r="U8" s="66"/>
      <c r="V8" s="66"/>
      <c r="W8" s="66"/>
      <c r="X8" s="66"/>
      <c r="Y8" s="66"/>
      <c r="Z8" s="66"/>
      <c r="AA8" s="66"/>
      <c r="AB8" s="66"/>
      <c r="AC8" s="66"/>
      <c r="AD8" s="66"/>
      <c r="AE8" s="503"/>
      <c r="AF8" s="503"/>
      <c r="AG8" s="503"/>
      <c r="AH8" s="503"/>
      <c r="AI8" s="503"/>
      <c r="AJ8" s="503"/>
      <c r="AK8" s="503"/>
      <c r="AL8" s="503"/>
      <c r="AM8" s="503"/>
      <c r="AN8" s="50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  <c r="BO8" s="13"/>
      <c r="BP8" s="13"/>
      <c r="BQ8" s="13"/>
      <c r="BR8" s="13"/>
      <c r="BS8" s="13"/>
      <c r="BT8" s="13"/>
      <c r="BU8" s="13"/>
      <c r="BV8" s="13"/>
      <c r="BW8" s="13"/>
      <c r="BX8" s="13"/>
      <c r="BY8" s="13"/>
      <c r="BZ8" s="13"/>
    </row>
    <row r="9" spans="1:78" s="66" customFormat="1" ht="11.25" customHeight="1" x14ac:dyDescent="0.35">
      <c r="A9" s="184"/>
      <c r="B9" s="184"/>
      <c r="C9" s="184"/>
      <c r="D9" s="184"/>
      <c r="E9" s="184"/>
      <c r="F9" s="184"/>
      <c r="G9" s="127"/>
      <c r="H9" s="127"/>
      <c r="I9" s="64"/>
      <c r="AE9" s="503"/>
      <c r="AF9" s="503"/>
      <c r="AG9" s="503"/>
      <c r="AH9" s="503"/>
      <c r="AI9" s="503"/>
      <c r="AJ9" s="503"/>
      <c r="AK9" s="503"/>
      <c r="AL9" s="503"/>
      <c r="AM9" s="503"/>
      <c r="AN9" s="503"/>
      <c r="AO9" s="503"/>
      <c r="AP9" s="503"/>
      <c r="AQ9" s="503"/>
      <c r="AR9" s="503"/>
      <c r="AS9" s="503"/>
      <c r="AT9" s="503"/>
      <c r="AU9" s="503"/>
      <c r="AV9" s="503"/>
      <c r="AW9" s="503"/>
      <c r="AX9" s="503"/>
      <c r="AY9" s="503"/>
      <c r="AZ9" s="503"/>
      <c r="BA9" s="503"/>
      <c r="BB9" s="503"/>
      <c r="BC9" s="503"/>
      <c r="BD9" s="503"/>
      <c r="BE9" s="503"/>
      <c r="BF9" s="503"/>
      <c r="BG9" s="503"/>
      <c r="BH9" s="503"/>
      <c r="BI9" s="503"/>
      <c r="BJ9" s="503"/>
      <c r="BK9" s="503"/>
      <c r="BL9" s="503"/>
      <c r="BM9" s="503"/>
      <c r="BN9" s="503"/>
      <c r="BO9" s="503"/>
      <c r="BP9" s="503"/>
      <c r="BQ9" s="503"/>
      <c r="BR9" s="503"/>
      <c r="BS9" s="503"/>
      <c r="BT9" s="503"/>
      <c r="BU9" s="503"/>
      <c r="BV9" s="503"/>
      <c r="BW9" s="503"/>
      <c r="BX9" s="503"/>
      <c r="BY9" s="503"/>
      <c r="BZ9" s="503"/>
    </row>
    <row r="10" spans="1:78" s="66" customFormat="1" ht="32.25" customHeight="1" x14ac:dyDescent="0.35">
      <c r="A10" s="63"/>
      <c r="B10" s="64"/>
      <c r="C10" s="64"/>
      <c r="D10" s="64"/>
      <c r="E10" s="64"/>
      <c r="G10" s="127"/>
      <c r="H10" s="127"/>
      <c r="I10" s="64"/>
      <c r="J10" s="64"/>
      <c r="AE10" s="503"/>
      <c r="AF10" s="503"/>
      <c r="AG10" s="503"/>
      <c r="AH10" s="503"/>
      <c r="AI10" s="503"/>
      <c r="AJ10" s="503"/>
      <c r="AK10" s="503"/>
      <c r="AL10" s="503"/>
      <c r="AM10" s="503"/>
      <c r="AN10" s="503"/>
      <c r="AO10" s="503"/>
      <c r="AP10" s="503"/>
      <c r="AQ10" s="503"/>
      <c r="AR10" s="503"/>
      <c r="AS10" s="503"/>
      <c r="AT10" s="503"/>
      <c r="AU10" s="503"/>
      <c r="AV10" s="503"/>
      <c r="AW10" s="503"/>
      <c r="AX10" s="503"/>
      <c r="AY10" s="503"/>
      <c r="AZ10" s="503"/>
      <c r="BA10" s="503"/>
      <c r="BB10" s="503"/>
      <c r="BC10" s="503"/>
      <c r="BD10" s="503"/>
      <c r="BE10" s="503"/>
      <c r="BF10" s="503"/>
      <c r="BG10" s="503"/>
      <c r="BH10" s="503"/>
      <c r="BI10" s="503"/>
      <c r="BJ10" s="503"/>
      <c r="BK10" s="503"/>
      <c r="BL10" s="503"/>
      <c r="BM10" s="503"/>
      <c r="BN10" s="503"/>
      <c r="BO10" s="503"/>
      <c r="BP10" s="503"/>
      <c r="BQ10" s="503"/>
      <c r="BR10" s="503"/>
      <c r="BS10" s="503"/>
      <c r="BT10" s="503"/>
      <c r="BU10" s="503"/>
      <c r="BV10" s="503"/>
      <c r="BW10" s="503"/>
      <c r="BX10" s="503"/>
      <c r="BY10" s="503"/>
      <c r="BZ10" s="503"/>
    </row>
    <row r="11" spans="1:78" s="13" customFormat="1" ht="15.5" x14ac:dyDescent="0.35">
      <c r="A11" s="1"/>
      <c r="B11" s="61" t="s">
        <v>83</v>
      </c>
      <c r="C11" s="1"/>
      <c r="D11" s="1"/>
      <c r="E11" s="1"/>
      <c r="F11" s="1"/>
      <c r="G11" s="128"/>
      <c r="H11" s="128"/>
      <c r="I11" s="64"/>
      <c r="J11" s="64"/>
      <c r="K11" s="64"/>
      <c r="L11" s="64"/>
      <c r="M11" s="64"/>
      <c r="N11" s="64"/>
      <c r="O11" s="64"/>
      <c r="P11" s="64"/>
      <c r="Q11" s="64"/>
      <c r="R11" s="64"/>
      <c r="S11" s="64"/>
      <c r="T11" s="64"/>
      <c r="U11" s="64"/>
      <c r="V11" s="64"/>
      <c r="W11" s="64"/>
      <c r="X11" s="64"/>
      <c r="Y11" s="64"/>
      <c r="Z11" s="64"/>
      <c r="AA11" s="64"/>
      <c r="AB11" s="64"/>
      <c r="AC11" s="64"/>
      <c r="AD11" s="64"/>
    </row>
    <row r="12" spans="1:78" s="13" customFormat="1" ht="26.5" x14ac:dyDescent="0.35">
      <c r="A12" s="1"/>
      <c r="B12" s="102" t="s">
        <v>84</v>
      </c>
      <c r="C12" s="102" t="s">
        <v>85</v>
      </c>
      <c r="D12" s="102" t="s">
        <v>86</v>
      </c>
      <c r="E12" s="102" t="s">
        <v>87</v>
      </c>
      <c r="F12" s="1"/>
      <c r="G12" s="115" t="s">
        <v>88</v>
      </c>
      <c r="H12" s="115" t="s">
        <v>89</v>
      </c>
      <c r="I12" s="115" t="s">
        <v>90</v>
      </c>
      <c r="J12" s="64"/>
      <c r="K12" s="64"/>
      <c r="L12" s="64"/>
      <c r="M12" s="64"/>
      <c r="N12" s="64"/>
      <c r="O12" s="64"/>
      <c r="P12" s="64"/>
      <c r="Q12" s="64"/>
      <c r="R12" s="64"/>
      <c r="S12" s="64"/>
      <c r="T12" s="64"/>
      <c r="U12" s="64"/>
      <c r="V12" s="64"/>
      <c r="W12" s="64"/>
      <c r="X12" s="64"/>
      <c r="Y12" s="64"/>
      <c r="Z12" s="64"/>
      <c r="AA12" s="64"/>
      <c r="AB12" s="64"/>
      <c r="AC12" s="64"/>
      <c r="AD12" s="64"/>
    </row>
    <row r="13" spans="1:78" x14ac:dyDescent="0.35">
      <c r="B13" s="105" t="s">
        <v>91</v>
      </c>
      <c r="C13" s="509"/>
      <c r="D13" s="510"/>
      <c r="E13" s="106"/>
      <c r="G13" s="133"/>
      <c r="H13" s="134">
        <f>C13</f>
        <v>0</v>
      </c>
      <c r="I13" s="64"/>
      <c r="M13" s="64"/>
    </row>
    <row r="14" spans="1:78" ht="26" x14ac:dyDescent="0.35">
      <c r="B14" s="105" t="s">
        <v>130</v>
      </c>
      <c r="C14" s="511"/>
      <c r="D14" s="510"/>
      <c r="E14" s="106"/>
      <c r="G14" s="133"/>
      <c r="H14" s="134">
        <f>C14</f>
        <v>0</v>
      </c>
      <c r="I14" s="64"/>
      <c r="M14" s="64"/>
    </row>
    <row r="15" spans="1:78" x14ac:dyDescent="0.35">
      <c r="B15" s="105" t="s">
        <v>131</v>
      </c>
      <c r="C15" s="511"/>
      <c r="D15" s="510"/>
      <c r="E15" s="106"/>
      <c r="G15" s="133"/>
      <c r="H15" s="134">
        <f>C15</f>
        <v>0</v>
      </c>
      <c r="I15" s="128"/>
      <c r="M15" s="64"/>
    </row>
    <row r="16" spans="1:78" hidden="1" x14ac:dyDescent="0.35">
      <c r="B16" s="105" t="s">
        <v>132</v>
      </c>
      <c r="C16" s="519"/>
      <c r="D16" s="520" t="s">
        <v>120</v>
      </c>
      <c r="E16" s="402" t="str">
        <f>IF(D16="Yes",G16," ")</f>
        <v xml:space="preserve"> </v>
      </c>
      <c r="G16" s="139">
        <f>Assumptions!$D$28</f>
        <v>1.46</v>
      </c>
      <c r="H16" s="139">
        <f>IF(D16="Yes",E16,C16)</f>
        <v>0</v>
      </c>
      <c r="I16" s="166">
        <f>IF(AND(D16="No",ISBLANK(C16)),1,IF(D16="Yes",IF(E16=0,1,0),0))</f>
        <v>1</v>
      </c>
      <c r="M16" s="64"/>
    </row>
    <row r="17" spans="1:78" x14ac:dyDescent="0.35">
      <c r="B17" s="105" t="s">
        <v>133</v>
      </c>
      <c r="C17" s="521"/>
      <c r="D17" s="510"/>
      <c r="E17" s="106"/>
      <c r="G17" s="133"/>
      <c r="H17" s="134">
        <f>C17</f>
        <v>0</v>
      </c>
      <c r="I17" s="128"/>
      <c r="M17" s="64"/>
    </row>
    <row r="18" spans="1:78" x14ac:dyDescent="0.35">
      <c r="B18" s="105" t="s">
        <v>97</v>
      </c>
      <c r="C18" s="434"/>
      <c r="D18" s="298" t="s">
        <v>94</v>
      </c>
      <c r="E18" s="402">
        <f>IF(D18="Yes",G18," ")</f>
        <v>1.46</v>
      </c>
      <c r="G18" s="139">
        <f>Assumptions!$D$28</f>
        <v>1.46</v>
      </c>
      <c r="H18" s="139">
        <f>IF(D18="Yes",E18,C18)</f>
        <v>1.46</v>
      </c>
      <c r="I18" s="166">
        <f>IF(AND(D18="No",ISBLANK(C18)),1,IF(D18="Yes",IF(E18=0,1,0),0))</f>
        <v>0</v>
      </c>
      <c r="M18" s="64"/>
    </row>
    <row r="19" spans="1:78" x14ac:dyDescent="0.35">
      <c r="B19" s="100"/>
      <c r="C19" s="101"/>
      <c r="D19" s="101"/>
      <c r="E19" s="101"/>
      <c r="G19" s="133"/>
      <c r="H19" s="133"/>
      <c r="I19" s="64"/>
      <c r="M19" s="64"/>
    </row>
    <row r="20" spans="1:78" s="64" customFormat="1" x14ac:dyDescent="0.35">
      <c r="B20" s="103"/>
      <c r="C20" s="104"/>
      <c r="D20" s="104"/>
      <c r="E20" s="104"/>
      <c r="G20" s="133"/>
      <c r="H20" s="13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13"/>
      <c r="AZ20" s="13"/>
      <c r="BA20" s="13"/>
      <c r="BB20" s="13"/>
      <c r="BC20" s="13"/>
      <c r="BD20" s="13"/>
      <c r="BE20" s="13"/>
      <c r="BF20" s="13"/>
      <c r="BG20" s="13"/>
      <c r="BH20" s="13"/>
      <c r="BI20" s="13"/>
      <c r="BJ20" s="13"/>
      <c r="BK20" s="13"/>
      <c r="BL20" s="13"/>
      <c r="BM20" s="13"/>
      <c r="BN20" s="13"/>
      <c r="BO20" s="13"/>
      <c r="BP20" s="13"/>
      <c r="BQ20" s="13"/>
      <c r="BR20" s="13"/>
      <c r="BS20" s="13"/>
      <c r="BT20" s="13"/>
      <c r="BU20" s="13"/>
      <c r="BV20" s="13"/>
      <c r="BW20" s="13"/>
      <c r="BX20" s="13"/>
      <c r="BY20" s="13"/>
      <c r="BZ20" s="13"/>
    </row>
    <row r="21" spans="1:78" ht="15.5" x14ac:dyDescent="0.35">
      <c r="B21" s="61" t="s">
        <v>96</v>
      </c>
      <c r="G21" s="133"/>
      <c r="H21" s="133"/>
      <c r="I21" s="64"/>
      <c r="M21" s="64"/>
    </row>
    <row r="22" spans="1:78" x14ac:dyDescent="0.35">
      <c r="G22" s="133"/>
      <c r="H22" s="133"/>
      <c r="I22" s="64"/>
      <c r="M22" s="64"/>
    </row>
    <row r="23" spans="1:78" x14ac:dyDescent="0.35">
      <c r="B23" s="102" t="s">
        <v>84</v>
      </c>
      <c r="C23" s="102" t="s">
        <v>85</v>
      </c>
      <c r="D23" s="102"/>
      <c r="E23" s="102"/>
      <c r="G23" s="133"/>
      <c r="H23" s="133"/>
      <c r="I23" s="64"/>
      <c r="M23" s="64"/>
    </row>
    <row r="24" spans="1:78" x14ac:dyDescent="0.35">
      <c r="B24" s="105" t="s">
        <v>134</v>
      </c>
      <c r="C24" s="130">
        <f>Assumptions!$D$27</f>
        <v>0.45760000000000001</v>
      </c>
      <c r="D24" s="102"/>
      <c r="E24" s="102"/>
      <c r="G24" s="133"/>
      <c r="H24" s="135">
        <f>C24</f>
        <v>0.45760000000000001</v>
      </c>
      <c r="I24" s="166"/>
      <c r="M24" s="64"/>
    </row>
    <row r="25" spans="1:78" x14ac:dyDescent="0.35">
      <c r="B25" s="44"/>
      <c r="C25" s="62"/>
      <c r="D25" s="102"/>
      <c r="E25" s="102"/>
      <c r="G25" s="133"/>
      <c r="H25" s="133"/>
      <c r="I25" s="64"/>
      <c r="M25" s="64"/>
    </row>
    <row r="26" spans="1:78" x14ac:dyDescent="0.35">
      <c r="A26" s="64"/>
      <c r="B26" s="64"/>
      <c r="C26" s="64"/>
      <c r="D26" s="64"/>
      <c r="E26" s="64"/>
      <c r="F26" s="64"/>
      <c r="G26" s="133"/>
      <c r="H26" s="133"/>
      <c r="I26" s="64"/>
      <c r="M26" s="64"/>
    </row>
    <row r="27" spans="1:78" s="64" customFormat="1" ht="15.5" x14ac:dyDescent="0.35">
      <c r="A27" s="1"/>
      <c r="B27" s="61" t="s">
        <v>99</v>
      </c>
      <c r="C27" s="1"/>
      <c r="D27" s="1"/>
      <c r="E27" s="1"/>
      <c r="F27" s="1"/>
      <c r="G27" s="133"/>
      <c r="H27" s="13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  <c r="BM27" s="13"/>
      <c r="BN27" s="13"/>
      <c r="BO27" s="13"/>
      <c r="BP27" s="13"/>
      <c r="BQ27" s="13"/>
      <c r="BR27" s="13"/>
      <c r="BS27" s="13"/>
      <c r="BT27" s="13"/>
      <c r="BU27" s="13"/>
      <c r="BV27" s="13"/>
      <c r="BW27" s="13"/>
      <c r="BX27" s="13"/>
      <c r="BY27" s="13"/>
      <c r="BZ27" s="13"/>
    </row>
    <row r="28" spans="1:78" s="12" customFormat="1" x14ac:dyDescent="0.35">
      <c r="A28" s="1"/>
      <c r="B28" s="1"/>
      <c r="C28" s="1"/>
      <c r="D28" s="1"/>
      <c r="E28" s="1"/>
      <c r="F28" s="1"/>
      <c r="G28" s="133"/>
      <c r="H28" s="133"/>
      <c r="I28" s="64"/>
      <c r="J28" s="64"/>
      <c r="K28" s="64"/>
      <c r="L28" s="64"/>
      <c r="M28" s="64"/>
      <c r="N28" s="64"/>
      <c r="O28" s="64"/>
      <c r="P28" s="64"/>
      <c r="Q28" s="64"/>
      <c r="R28" s="64"/>
      <c r="S28" s="64"/>
      <c r="T28" s="64"/>
      <c r="U28" s="64"/>
      <c r="V28" s="64"/>
      <c r="W28" s="64"/>
      <c r="X28" s="64"/>
      <c r="Y28" s="64"/>
      <c r="Z28" s="64"/>
      <c r="AA28" s="64"/>
      <c r="AB28" s="64"/>
      <c r="AC28" s="64"/>
      <c r="AD28" s="64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A28" s="13"/>
      <c r="BB28" s="13"/>
      <c r="BC28" s="13"/>
      <c r="BD28" s="13"/>
      <c r="BE28" s="13"/>
      <c r="BF28" s="13"/>
      <c r="BG28" s="13"/>
      <c r="BH28" s="13"/>
      <c r="BI28" s="13"/>
      <c r="BJ28" s="13"/>
      <c r="BK28" s="13"/>
      <c r="BL28" s="13"/>
      <c r="BM28" s="13"/>
      <c r="BN28" s="13"/>
      <c r="BO28" s="13"/>
      <c r="BP28" s="13"/>
      <c r="BQ28" s="13"/>
      <c r="BR28" s="13"/>
      <c r="BS28" s="13"/>
      <c r="BT28" s="13"/>
      <c r="BU28" s="13"/>
      <c r="BV28" s="13"/>
      <c r="BW28" s="13"/>
      <c r="BX28" s="13"/>
      <c r="BY28" s="13"/>
      <c r="BZ28" s="13"/>
    </row>
    <row r="29" spans="1:78" s="12" customFormat="1" ht="26.5" x14ac:dyDescent="0.35">
      <c r="A29" s="1"/>
      <c r="B29" s="102" t="s">
        <v>84</v>
      </c>
      <c r="C29" s="102" t="s">
        <v>85</v>
      </c>
      <c r="D29" s="1"/>
      <c r="E29" s="1"/>
      <c r="F29" s="1"/>
      <c r="G29" s="133"/>
      <c r="H29" s="133"/>
      <c r="I29" s="64"/>
      <c r="J29" s="64"/>
      <c r="K29" s="56" t="s">
        <v>100</v>
      </c>
      <c r="L29" s="57" t="s">
        <v>101</v>
      </c>
      <c r="M29" s="57" t="s">
        <v>102</v>
      </c>
      <c r="N29" s="57" t="s">
        <v>103</v>
      </c>
      <c r="O29" s="58">
        <v>2018</v>
      </c>
      <c r="P29" s="59">
        <v>2030</v>
      </c>
      <c r="Q29" s="59">
        <v>2040</v>
      </c>
      <c r="R29" s="64"/>
      <c r="S29" s="64"/>
      <c r="T29" s="64"/>
      <c r="U29" s="64"/>
      <c r="V29" s="64"/>
      <c r="W29" s="64"/>
      <c r="X29" s="64"/>
      <c r="Y29" s="64"/>
      <c r="Z29" s="64"/>
      <c r="AA29" s="64"/>
      <c r="AB29" s="64"/>
      <c r="AC29" s="64"/>
      <c r="AD29" s="64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13"/>
      <c r="AP29" s="13"/>
      <c r="AQ29" s="13"/>
      <c r="AR29" s="13"/>
      <c r="AS29" s="13"/>
      <c r="AT29" s="13"/>
      <c r="AU29" s="13"/>
      <c r="AV29" s="13"/>
      <c r="AW29" s="13"/>
      <c r="AX29" s="13"/>
      <c r="AY29" s="13"/>
      <c r="AZ29" s="13"/>
      <c r="BA29" s="13"/>
      <c r="BB29" s="13"/>
      <c r="BC29" s="13"/>
      <c r="BD29" s="13"/>
      <c r="BE29" s="13"/>
      <c r="BF29" s="13"/>
      <c r="BG29" s="13"/>
      <c r="BH29" s="13"/>
      <c r="BI29" s="13"/>
      <c r="BJ29" s="13"/>
      <c r="BK29" s="13"/>
      <c r="BL29" s="13"/>
      <c r="BM29" s="13"/>
      <c r="BN29" s="13"/>
      <c r="BO29" s="13"/>
      <c r="BP29" s="13"/>
      <c r="BQ29" s="13"/>
      <c r="BR29" s="13"/>
      <c r="BS29" s="13"/>
      <c r="BT29" s="13"/>
      <c r="BU29" s="13"/>
      <c r="BV29" s="13"/>
      <c r="BW29" s="13"/>
      <c r="BX29" s="13"/>
      <c r="BY29" s="13"/>
      <c r="BZ29" s="13"/>
    </row>
    <row r="30" spans="1:78" s="12" customFormat="1" hidden="1" x14ac:dyDescent="0.35">
      <c r="A30" s="1"/>
      <c r="B30" s="105" t="s">
        <v>135</v>
      </c>
      <c r="C30" s="108">
        <f>IF($H$13&lt;2030,FORECAST($H$13,O30:P30,$O$29:$P$29),FORECAST($H$13,P30:Q30,$P$29:$Q$29))</f>
        <v>43090.923333333361</v>
      </c>
      <c r="D30" s="1"/>
      <c r="E30" s="1"/>
      <c r="F30" s="1"/>
      <c r="G30" s="133"/>
      <c r="H30" s="139">
        <f>C30</f>
        <v>43090.923333333361</v>
      </c>
      <c r="I30" s="64"/>
      <c r="J30" s="64"/>
      <c r="K30" s="53" t="s">
        <v>136</v>
      </c>
      <c r="L30" s="54" t="s">
        <v>106</v>
      </c>
      <c r="M30" s="98">
        <v>35</v>
      </c>
      <c r="N30" s="54" t="s">
        <v>107</v>
      </c>
      <c r="O30" s="55">
        <f>IF(L30="CO2eq",VLOOKUP(M30,'Emission Factors'!$G$3:$J$18,MATCH(K30,'Emission Factors'!$G$2:$J$2,0),0),IF(L30="CO",VLOOKUP($M30,'Emission Factors'!$G$19:$J$34,MATCH(K30,'Emission Factors'!$G$2:$J$2,0),0),IF(L30="PM2.5",VLOOKUP(M30,'Emission Factors'!$G$35:$J$50,MATCH(K30,'Emission Factors'!$G$2:$J$2,0),0),IF(L30="NOx",VLOOKUP(M30,'Emission Factors'!$G$51:$J$66,MATCH(K30,'Emission Factors'!$G$2:$J$2,0),0),VLOOKUP(M30,'Emission Factors'!$G$67:$J$82,MATCH(K30,'Emission Factors'!$G$2:$J$2,0),0)))))</f>
        <v>1789.19</v>
      </c>
      <c r="P30" s="155">
        <f>IF($L30="CO2eq",VLOOKUP($M30,'Emission Factors'!$G$88:$J$103,MATCH($K30,'Emission Factors'!$G$87:$J$87,0),0),IF(L30="CO",VLOOKUP($M30,'Emission Factors'!$G$104:$J$119,MATCH(K30,'Emission Factors'!$G$2:$J$2,0),0),IF(L30="PM2.5",VLOOKUP(M30,'Emission Factors'!$G$120:$J$135,MATCH(K30,'Emission Factors'!$G$2:$J$2,0),0),IF(L30="NOx",VLOOKUP(M30,'Emission Factors'!$G$136:$J$151,MATCH(K30,'Emission Factors'!$G$2:$J$2,0),0),VLOOKUP(M30,'Emission Factors'!$G$152:$J$167,MATCH(K30,'Emission Factors'!$G$2:$J$2,0),0)))))</f>
        <v>1543.59</v>
      </c>
      <c r="Q30" s="155">
        <f>IF($L30="CO2eq",VLOOKUP($M30,'Emission Factors'!$G$173:$J$188,MATCH(K30,'Emission Factors'!$G$87:$J$87,0),0),IF(L30="CO",VLOOKUP($M30,'Emission Factors'!$G$189:$J$204,MATCH(K30,'Emission Factors'!$G$87:$J$87,0),0),IF(L30="PM2.5",VLOOKUP(M30,'Emission Factors'!$G$205:$J$220,MATCH(K30,'Emission Factors'!$G$87:$J$87,0),0),IF(L30="NOx",VLOOKUP(M30,'Emission Factors'!$G$221:$J$236,MATCH(K30,'Emission Factors'!$G$87:$J$87,0),0),VLOOKUP(M30,'Emission Factors'!$G$237:$J$252,MATCH(K30,'Emission Factors'!$G$87:$J$87,0),0)))))</f>
        <v>1366.57</v>
      </c>
      <c r="R30" s="64"/>
      <c r="S30" s="64"/>
      <c r="T30" s="64"/>
      <c r="U30" s="64"/>
      <c r="V30" s="64"/>
      <c r="W30" s="64"/>
      <c r="X30" s="64"/>
      <c r="Y30" s="64"/>
      <c r="Z30" s="64"/>
      <c r="AA30" s="64"/>
      <c r="AB30" s="64"/>
      <c r="AC30" s="64"/>
      <c r="AD30" s="64"/>
      <c r="AE30" s="13"/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3"/>
      <c r="AU30" s="13"/>
      <c r="AV30" s="13"/>
      <c r="AW30" s="13"/>
      <c r="AX30" s="13"/>
      <c r="AY30" s="13"/>
      <c r="AZ30" s="13"/>
      <c r="BA30" s="13"/>
      <c r="BB30" s="13"/>
      <c r="BC30" s="13"/>
      <c r="BD30" s="13"/>
      <c r="BE30" s="13"/>
      <c r="BF30" s="13"/>
      <c r="BG30" s="13"/>
      <c r="BH30" s="13"/>
      <c r="BI30" s="13"/>
      <c r="BJ30" s="13"/>
      <c r="BK30" s="13"/>
      <c r="BL30" s="13"/>
      <c r="BM30" s="13"/>
      <c r="BN30" s="13"/>
      <c r="BO30" s="13"/>
      <c r="BP30" s="13"/>
      <c r="BQ30" s="13"/>
      <c r="BR30" s="13"/>
      <c r="BS30" s="13"/>
      <c r="BT30" s="13"/>
      <c r="BU30" s="13"/>
      <c r="BV30" s="13"/>
      <c r="BW30" s="13"/>
      <c r="BX30" s="13"/>
      <c r="BY30" s="13"/>
      <c r="BZ30" s="13"/>
    </row>
    <row r="31" spans="1:78" s="12" customFormat="1" hidden="1" x14ac:dyDescent="0.35">
      <c r="A31" s="1"/>
      <c r="B31" s="105" t="s">
        <v>137</v>
      </c>
      <c r="C31" s="108">
        <f t="shared" ref="C31:C39" si="0">IF($H$13&lt;2030,FORECAST($H$13,O31:P31,$O$29:$P$29),FORECAST($H$13,P31:Q31,$P$29:$Q$29))</f>
        <v>78.352653333333393</v>
      </c>
      <c r="D31" s="1"/>
      <c r="E31" s="1"/>
      <c r="F31" s="1"/>
      <c r="G31" s="133"/>
      <c r="H31" s="139">
        <f t="shared" ref="H31:H34" si="1">C31</f>
        <v>78.352653333333393</v>
      </c>
      <c r="I31" s="64"/>
      <c r="J31" s="64"/>
      <c r="K31" s="53" t="s">
        <v>136</v>
      </c>
      <c r="L31" s="45" t="s">
        <v>109</v>
      </c>
      <c r="M31" s="99">
        <v>35</v>
      </c>
      <c r="N31" s="45" t="s">
        <v>107</v>
      </c>
      <c r="O31" s="46">
        <f>IF(L31="CO2eq",VLOOKUP(M31,'Emission Factors'!$G$3:$J$18,MATCH(K31,'Emission Factors'!$G$2:$J$2,0),0),IF(L31="CO",VLOOKUP($M31,'Emission Factors'!$G$19:$J$34,MATCH(K31,'Emission Factors'!$G$2:$J$2,0),0),IF(L31="PM2.5",VLOOKUP(M31,'Emission Factors'!$G$35:$J$50,MATCH(K31,'Emission Factors'!$G$2:$J$2,0),0),IF(L31="NOx",VLOOKUP(M31,'Emission Factors'!$G$51:$J$66,MATCH(K31,'Emission Factors'!$G$2:$J$2,0),0),VLOOKUP(M31,'Emission Factors'!$G$67:$J$82,MATCH(K31,'Emission Factors'!$G$2:$J$2,0),0)))))</f>
        <v>3.0476200000000002</v>
      </c>
      <c r="P31" s="156">
        <f>IF($L31="CO2eq",VLOOKUP($M31,'Emission Factors'!$G$88:$J$103,MATCH($K31,'Emission Factors'!$G$87:$J$87,0),0),IF(L31="CO",VLOOKUP($M31,'Emission Factors'!$G$104:$J$119,MATCH(K31,'Emission Factors'!$G$2:$J$2,0),0),IF(L31="PM2.5",VLOOKUP(M31,'Emission Factors'!$G$120:$J$135,MATCH(K31,'Emission Factors'!$G$2:$J$2,0),0),IF(L31="NOx",VLOOKUP(M31,'Emission Factors'!$G$136:$J$151,MATCH(K31,'Emission Factors'!$G$2:$J$2,0),0),VLOOKUP(M31,'Emission Factors'!$G$152:$J$167,MATCH(K31,'Emission Factors'!$G$2:$J$2,0),0)))))</f>
        <v>2.5998199999999998</v>
      </c>
      <c r="Q31" s="156">
        <f>IF($L31="CO2eq",VLOOKUP($M31,'Emission Factors'!$G$173:$J$188,MATCH(K31,'Emission Factors'!$G$87:$J$87,0),0),IF(L31="CO",VLOOKUP($M31,'Emission Factors'!$G$189:$J$204,MATCH(K31,'Emission Factors'!$G$87:$J$87,0),0),IF(L31="PM2.5",VLOOKUP(M31,'Emission Factors'!$G$205:$J$220,MATCH(K31,'Emission Factors'!$G$87:$J$87,0),0),IF(L31="NOx",VLOOKUP(M31,'Emission Factors'!$G$221:$J$236,MATCH(K31,'Emission Factors'!$G$87:$J$87,0),0),VLOOKUP(M31,'Emission Factors'!$G$237:$J$252,MATCH(K31,'Emission Factors'!$G$87:$J$87,0),0)))))</f>
        <v>2.4954299999999998</v>
      </c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13"/>
      <c r="AY31" s="13"/>
      <c r="AZ31" s="13"/>
      <c r="BA31" s="13"/>
      <c r="BB31" s="13"/>
      <c r="BC31" s="13"/>
      <c r="BD31" s="13"/>
      <c r="BE31" s="13"/>
      <c r="BF31" s="13"/>
      <c r="BG31" s="13"/>
      <c r="BH31" s="13"/>
      <c r="BI31" s="13"/>
      <c r="BJ31" s="13"/>
      <c r="BK31" s="13"/>
      <c r="BL31" s="13"/>
      <c r="BM31" s="13"/>
      <c r="BN31" s="13"/>
      <c r="BO31" s="13"/>
      <c r="BP31" s="13"/>
      <c r="BQ31" s="13"/>
      <c r="BR31" s="13"/>
      <c r="BS31" s="13"/>
      <c r="BT31" s="13"/>
      <c r="BU31" s="13"/>
      <c r="BV31" s="13"/>
      <c r="BW31" s="13"/>
      <c r="BX31" s="13"/>
      <c r="BY31" s="13"/>
      <c r="BZ31" s="13"/>
    </row>
    <row r="32" spans="1:78" s="12" customFormat="1" hidden="1" x14ac:dyDescent="0.35">
      <c r="A32" s="1"/>
      <c r="B32" s="105" t="s">
        <v>138</v>
      </c>
      <c r="C32" s="108">
        <f t="shared" si="0"/>
        <v>41.555066266666664</v>
      </c>
      <c r="D32" s="1"/>
      <c r="E32" s="1"/>
      <c r="F32" s="1"/>
      <c r="G32" s="133"/>
      <c r="H32" s="139">
        <f t="shared" si="1"/>
        <v>41.555066266666664</v>
      </c>
      <c r="I32" s="64"/>
      <c r="J32" s="64"/>
      <c r="K32" s="53" t="s">
        <v>136</v>
      </c>
      <c r="L32" s="45" t="s">
        <v>111</v>
      </c>
      <c r="M32" s="99">
        <v>35</v>
      </c>
      <c r="N32" s="45" t="s">
        <v>107</v>
      </c>
      <c r="O32" s="46">
        <f>IF(L32="CO2eq",VLOOKUP(M32,'Emission Factors'!$G$3:$J$18,MATCH(K32,'Emission Factors'!$G$2:$J$2,0),0),IF(L32="CO",VLOOKUP($M32,'Emission Factors'!$G$19:$J$34,MATCH(K32,'Emission Factors'!$G$2:$J$2,0),0),IF(L32="PM2.5",VLOOKUP(M32,'Emission Factors'!$G$35:$J$50,MATCH(K32,'Emission Factors'!$G$2:$J$2,0),0),IF(L32="NOx",VLOOKUP(M32,'Emission Factors'!$G$51:$J$66,MATCH(K32,'Emission Factors'!$G$2:$J$2,0),0),VLOOKUP(M32,'Emission Factors'!$G$67:$J$82,MATCH(K32,'Emission Factors'!$G$2:$J$2,0),0)))))</f>
        <v>0.30203400000000002</v>
      </c>
      <c r="P32" s="156">
        <f>IF($L32="CO2eq",VLOOKUP($M32,'Emission Factors'!$G$88:$J$103,MATCH($K32,'Emission Factors'!$G$87:$J$87,0),0),IF(L32="CO",VLOOKUP($M32,'Emission Factors'!$G$104:$J$119,MATCH(K32,'Emission Factors'!$G$2:$J$2,0),0),IF(L32="PM2.5",VLOOKUP(M32,'Emission Factors'!$G$120:$J$135,MATCH(K32,'Emission Factors'!$G$2:$J$2,0),0),IF(L32="NOx",VLOOKUP(M32,'Emission Factors'!$G$136:$J$151,MATCH(K32,'Emission Factors'!$G$2:$J$2,0),0),VLOOKUP(M32,'Emission Factors'!$G$152:$J$167,MATCH(K32,'Emission Factors'!$G$2:$J$2,0),0)))))</f>
        <v>5.6723599999999999E-2</v>
      </c>
      <c r="Q32" s="156">
        <f>IF($L32="CO2eq",VLOOKUP($M32,'Emission Factors'!$G$173:$J$188,MATCH(K32,'Emission Factors'!$G$87:$J$87,0),0),IF(L32="CO",VLOOKUP($M32,'Emission Factors'!$G$189:$J$204,MATCH(K32,'Emission Factors'!$G$87:$J$87,0),0),IF(L32="PM2.5",VLOOKUP(M32,'Emission Factors'!$G$205:$J$220,MATCH(K32,'Emission Factors'!$G$87:$J$87,0),0),IF(L32="NOx",VLOOKUP(M32,'Emission Factors'!$G$221:$J$236,MATCH(K32,'Emission Factors'!$G$87:$J$87,0),0),VLOOKUP(M32,'Emission Factors'!$G$237:$J$252,MATCH(K32,'Emission Factors'!$G$87:$J$87,0),0)))))</f>
        <v>2.7496900000000001E-2</v>
      </c>
      <c r="R32" s="64"/>
      <c r="S32" s="64"/>
      <c r="T32" s="64"/>
      <c r="U32" s="64"/>
      <c r="V32" s="64"/>
      <c r="W32" s="64"/>
      <c r="X32" s="64"/>
      <c r="Y32" s="64"/>
      <c r="Z32" s="64"/>
      <c r="AA32" s="64"/>
      <c r="AB32" s="64"/>
      <c r="AC32" s="64"/>
      <c r="AD32" s="64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  <c r="BM32" s="13"/>
      <c r="BN32" s="13"/>
      <c r="BO32" s="13"/>
      <c r="BP32" s="13"/>
      <c r="BQ32" s="13"/>
      <c r="BR32" s="13"/>
      <c r="BS32" s="13"/>
      <c r="BT32" s="13"/>
      <c r="BU32" s="13"/>
      <c r="BV32" s="13"/>
      <c r="BW32" s="13"/>
      <c r="BX32" s="13"/>
      <c r="BY32" s="13"/>
      <c r="BZ32" s="13"/>
    </row>
    <row r="33" spans="1:78" s="12" customFormat="1" hidden="1" x14ac:dyDescent="0.35">
      <c r="A33" s="1"/>
      <c r="B33" s="105" t="s">
        <v>139</v>
      </c>
      <c r="C33" s="108">
        <f t="shared" si="0"/>
        <v>843.72429166666666</v>
      </c>
      <c r="D33" s="1"/>
      <c r="E33" s="1"/>
      <c r="F33" s="1"/>
      <c r="G33" s="133"/>
      <c r="H33" s="139">
        <f t="shared" si="1"/>
        <v>843.72429166666666</v>
      </c>
      <c r="I33" s="64"/>
      <c r="J33" s="64"/>
      <c r="K33" s="53" t="s">
        <v>136</v>
      </c>
      <c r="L33" s="45" t="s">
        <v>113</v>
      </c>
      <c r="M33" s="99">
        <v>35</v>
      </c>
      <c r="N33" s="45" t="s">
        <v>107</v>
      </c>
      <c r="O33" s="46">
        <f>IF(L33="CO2eq",VLOOKUP(M33,'Emission Factors'!$G$3:$J$18,MATCH(K33,'Emission Factors'!$G$2:$J$2,0),0),IF(L33="CO",VLOOKUP($M33,'Emission Factors'!$G$19:$J$34,MATCH(K33,'Emission Factors'!$G$2:$J$2,0),0),IF(L33="PM2.5",VLOOKUP(M33,'Emission Factors'!$G$35:$J$50,MATCH(K33,'Emission Factors'!$G$2:$J$2,0),0),IF(L33="NOx",VLOOKUP(M33,'Emission Factors'!$G$51:$J$66,MATCH(K33,'Emission Factors'!$G$2:$J$2,0),0),VLOOKUP(M33,'Emission Factors'!$G$67:$J$82,MATCH(K33,'Emission Factors'!$G$2:$J$2,0),0)))))</f>
        <v>9.1585300000000007</v>
      </c>
      <c r="P33" s="156">
        <f>IF($L33="CO2eq",VLOOKUP($M33,'Emission Factors'!$G$88:$J$103,MATCH($K33,'Emission Factors'!$G$87:$J$87,0),0),IF(L33="CO",VLOOKUP($M33,'Emission Factors'!$G$104:$J$119,MATCH(K33,'Emission Factors'!$G$2:$J$2,0),0),IF(L33="PM2.5",VLOOKUP(M33,'Emission Factors'!$G$120:$J$135,MATCH(K33,'Emission Factors'!$G$2:$J$2,0),0),IF(L33="NOx",VLOOKUP(M33,'Emission Factors'!$G$136:$J$151,MATCH(K33,'Emission Factors'!$G$2:$J$2,0),0),VLOOKUP(M33,'Emission Factors'!$G$152:$J$167,MATCH(K33,'Emission Factors'!$G$2:$J$2,0),0)))))</f>
        <v>4.1958000000000002</v>
      </c>
      <c r="Q33" s="156">
        <f>IF($L33="CO2eq",VLOOKUP($M33,'Emission Factors'!$G$173:$J$188,MATCH(K33,'Emission Factors'!$G$87:$J$87,0),0),IF(L33="CO",VLOOKUP($M33,'Emission Factors'!$G$189:$J$204,MATCH(K33,'Emission Factors'!$G$87:$J$87,0),0),IF(L33="PM2.5",VLOOKUP(M33,'Emission Factors'!$G$205:$J$220,MATCH(K33,'Emission Factors'!$G$87:$J$87,0),0),IF(L33="NOx",VLOOKUP(M33,'Emission Factors'!$G$221:$J$236,MATCH(K33,'Emission Factors'!$G$87:$J$87,0),0),VLOOKUP(M33,'Emission Factors'!$G$237:$J$252,MATCH(K33,'Emission Factors'!$G$87:$J$87,0),0)))))</f>
        <v>3.4813900000000002</v>
      </c>
      <c r="R33" s="64"/>
      <c r="S33" s="64"/>
      <c r="T33" s="64"/>
      <c r="U33" s="64"/>
      <c r="V33" s="64"/>
      <c r="W33" s="64"/>
      <c r="X33" s="64"/>
      <c r="Y33" s="64"/>
      <c r="Z33" s="64"/>
      <c r="AA33" s="64"/>
      <c r="AB33" s="64"/>
      <c r="AC33" s="64"/>
      <c r="AD33" s="64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F33" s="13"/>
      <c r="BG33" s="13"/>
      <c r="BH33" s="13"/>
      <c r="BI33" s="13"/>
      <c r="BJ33" s="13"/>
      <c r="BK33" s="13"/>
      <c r="BL33" s="13"/>
      <c r="BM33" s="13"/>
      <c r="BN33" s="13"/>
      <c r="BO33" s="13"/>
      <c r="BP33" s="13"/>
      <c r="BQ33" s="13"/>
      <c r="BR33" s="13"/>
      <c r="BS33" s="13"/>
      <c r="BT33" s="13"/>
      <c r="BU33" s="13"/>
      <c r="BV33" s="13"/>
      <c r="BW33" s="13"/>
      <c r="BX33" s="13"/>
      <c r="BY33" s="13"/>
      <c r="BZ33" s="13"/>
    </row>
    <row r="34" spans="1:78" s="12" customFormat="1" hidden="1" x14ac:dyDescent="0.35">
      <c r="A34" s="1"/>
      <c r="B34" s="105" t="s">
        <v>140</v>
      </c>
      <c r="C34" s="108">
        <f t="shared" si="0"/>
        <v>46.236405833333336</v>
      </c>
      <c r="D34" s="1"/>
      <c r="E34" s="1"/>
      <c r="F34" s="1"/>
      <c r="G34" s="133"/>
      <c r="H34" s="139">
        <f t="shared" si="1"/>
        <v>46.236405833333336</v>
      </c>
      <c r="I34" s="64"/>
      <c r="J34" s="64"/>
      <c r="K34" s="53" t="s">
        <v>136</v>
      </c>
      <c r="L34" s="50" t="s">
        <v>115</v>
      </c>
      <c r="M34" s="51">
        <v>35</v>
      </c>
      <c r="N34" s="50" t="s">
        <v>107</v>
      </c>
      <c r="O34" s="52">
        <f>IF(L34="CO2eq",VLOOKUP(M34,'Emission Factors'!$G$3:$J$18,MATCH(K34,'Emission Factors'!$G$2:$J$2,0),0),IF(L34="CO",VLOOKUP($M34,'Emission Factors'!$G$19:$J$34,MATCH(K34,'Emission Factors'!$G$2:$J$2,0),0),IF(L34="PM2.5",VLOOKUP(M34,'Emission Factors'!$G$35:$J$50,MATCH(K34,'Emission Factors'!$G$2:$J$2,0),0),IF(L34="NOx",VLOOKUP(M34,'Emission Factors'!$G$51:$J$66,MATCH(K34,'Emission Factors'!$G$2:$J$2,0),0),VLOOKUP(M34,'Emission Factors'!$G$67:$J$82,MATCH(K34,'Emission Factors'!$G$2:$J$2,0),0)))))</f>
        <v>0.369452</v>
      </c>
      <c r="P34" s="157">
        <f>IF($L34="CO2eq",VLOOKUP($M34,'Emission Factors'!$G$88:$J$103,MATCH($K34,'Emission Factors'!$G$87:$J$87,0),0),IF(L34="CO",VLOOKUP($M34,'Emission Factors'!$G$104:$J$119,MATCH(K34,'Emission Factors'!$G$2:$J$2,0),0),IF(L34="PM2.5",VLOOKUP(M34,'Emission Factors'!$G$120:$J$135,MATCH(K34,'Emission Factors'!$G$2:$J$2,0),0),IF(L34="NOx",VLOOKUP(M34,'Emission Factors'!$G$136:$J$151,MATCH(K34,'Emission Factors'!$G$2:$J$2,0),0),VLOOKUP(M34,'Emission Factors'!$G$152:$J$167,MATCH(K34,'Emission Factors'!$G$2:$J$2,0),0)))))</f>
        <v>9.6704999999999999E-2</v>
      </c>
      <c r="Q34" s="157">
        <f>IF($L34="CO2eq",VLOOKUP($M34,'Emission Factors'!$G$173:$J$188,MATCH(K34,'Emission Factors'!$G$87:$J$87,0),0),IF(L34="CO",VLOOKUP($M34,'Emission Factors'!$G$189:$J$204,MATCH(K34,'Emission Factors'!$G$87:$J$87,0),0),IF(L34="PM2.5",VLOOKUP(M34,'Emission Factors'!$G$205:$J$220,MATCH(K34,'Emission Factors'!$G$87:$J$87,0),0),IF(L34="NOx",VLOOKUP(M34,'Emission Factors'!$G$221:$J$236,MATCH(K34,'Emission Factors'!$G$87:$J$87,0),0),VLOOKUP(M34,'Emission Factors'!$G$237:$J$252,MATCH(K34,'Emission Factors'!$G$87:$J$87,0),0)))))</f>
        <v>5.8534599999999999E-2</v>
      </c>
      <c r="R34" s="64"/>
      <c r="S34" s="64"/>
      <c r="T34" s="64"/>
      <c r="U34" s="64"/>
      <c r="V34" s="64"/>
      <c r="W34" s="64"/>
      <c r="X34" s="64"/>
      <c r="Y34" s="64"/>
      <c r="Z34" s="64"/>
      <c r="AA34" s="64"/>
      <c r="AB34" s="64"/>
      <c r="AC34" s="64"/>
      <c r="AD34" s="64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  <c r="BA34" s="13"/>
      <c r="BB34" s="13"/>
      <c r="BC34" s="13"/>
      <c r="BD34" s="13"/>
      <c r="BE34" s="13"/>
      <c r="BF34" s="13"/>
      <c r="BG34" s="13"/>
      <c r="BH34" s="13"/>
      <c r="BI34" s="13"/>
      <c r="BJ34" s="13"/>
      <c r="BK34" s="13"/>
      <c r="BL34" s="13"/>
      <c r="BM34" s="13"/>
      <c r="BN34" s="13"/>
      <c r="BO34" s="13"/>
      <c r="BP34" s="13"/>
      <c r="BQ34" s="13"/>
      <c r="BR34" s="13"/>
      <c r="BS34" s="13"/>
      <c r="BT34" s="13"/>
      <c r="BU34" s="13"/>
      <c r="BV34" s="13"/>
      <c r="BW34" s="13"/>
      <c r="BX34" s="13"/>
      <c r="BY34" s="13"/>
      <c r="BZ34" s="13"/>
    </row>
    <row r="35" spans="1:78" s="12" customFormat="1" x14ac:dyDescent="0.35">
      <c r="A35" s="1"/>
      <c r="B35" s="105" t="s">
        <v>104</v>
      </c>
      <c r="C35" s="108">
        <f t="shared" si="0"/>
        <v>14163.40716666667</v>
      </c>
      <c r="D35" s="1"/>
      <c r="E35" s="1"/>
      <c r="F35" s="1"/>
      <c r="G35" s="133"/>
      <c r="H35" s="139">
        <f>C35</f>
        <v>14163.40716666667</v>
      </c>
      <c r="I35" s="64"/>
      <c r="J35" s="64"/>
      <c r="K35" s="53" t="s">
        <v>105</v>
      </c>
      <c r="L35" s="54" t="s">
        <v>106</v>
      </c>
      <c r="M35" s="98">
        <v>35</v>
      </c>
      <c r="N35" s="54" t="s">
        <v>107</v>
      </c>
      <c r="O35" s="55">
        <f>IF(L35="CO2eq",VLOOKUP(M35,'Emission Factors'!$G$3:$J$18,MATCH(K35,'Emission Factors'!$G$2:$J$2,0),0),IF(L35="CO",VLOOKUP($M35,'Emission Factors'!$G$19:$J$34,MATCH(K35,'Emission Factors'!$G$2:$J$2,0),0),IF(L35="PM2.5",VLOOKUP(M35,'Emission Factors'!$G$35:$J$50,MATCH(K35,'Emission Factors'!$G$2:$J$2,0),0),IF(L35="NOx",VLOOKUP(M35,'Emission Factors'!$G$51:$J$66,MATCH(K35,'Emission Factors'!$G$2:$J$2,0),0),VLOOKUP(M35,'Emission Factors'!$G$67:$J$82,MATCH(K35,'Emission Factors'!$G$2:$J$2,0),0)))))</f>
        <v>345.99299999999999</v>
      </c>
      <c r="P35" s="155">
        <f>IF($L35="CO2eq",VLOOKUP($M35,'Emission Factors'!$G$88:$J$103,MATCH($K35,'Emission Factors'!$G$87:$J$87,0),0),IF(L35="CO",VLOOKUP($M35,'Emission Factors'!$G$104:$J$119,MATCH(K35,'Emission Factors'!$G$2:$J$2,0),0),IF(L35="PM2.5",VLOOKUP(M35,'Emission Factors'!$G$120:$J$135,MATCH(K35,'Emission Factors'!$G$2:$J$2,0),0),IF(L35="NOx",VLOOKUP(M35,'Emission Factors'!$G$136:$J$151,MATCH(K35,'Emission Factors'!$G$2:$J$2,0),0),VLOOKUP(M35,'Emission Factors'!$G$152:$J$167,MATCH(K35,'Emission Factors'!$G$2:$J$2,0),0)))))</f>
        <v>263.82799999999997</v>
      </c>
      <c r="Q35" s="155">
        <f>IF($L35="CO2eq",VLOOKUP($M35, 'Emission Factors'!G179:J194,MATCH($K35,'Emission Factors'!$G$2:$J$2,0),0),IF(L35="CO",VLOOKUP($M35, 'Emission Factors'!$G$189:$J$204,MATCH(K35,'Emission Factors'!$G$2:$J$2,0),0),IF(L35="PM2.5",VLOOKUP(M35, 'Emission Factors'!$G$205:$J$220,MATCH(K35,'Emission Factors'!$G$2:$J$2,0),0),IF(L35="NOx",VLOOKUP(M35, 'Emission Factors'!$G$221:$J$236,MATCH(K35,'Emission Factors'!$G$2:$J$2,0),0),VLOOKUP(M35, 'Emission Factors'!$G$237:$J$252,MATCH(K35,'Emission Factors'!$G$2:$J$2,0),0)))))</f>
        <v>238.08</v>
      </c>
      <c r="R35" s="64"/>
      <c r="S35" s="64"/>
      <c r="T35" s="64"/>
      <c r="U35" s="64"/>
      <c r="V35" s="64"/>
      <c r="W35" s="64"/>
      <c r="X35" s="64"/>
      <c r="Y35" s="64"/>
      <c r="Z35" s="64"/>
      <c r="AA35" s="64"/>
      <c r="AB35" s="64"/>
      <c r="AC35" s="64"/>
      <c r="AD35" s="64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3"/>
      <c r="AZ35" s="13"/>
      <c r="BA35" s="13"/>
      <c r="BB35" s="13"/>
      <c r="BC35" s="13"/>
      <c r="BD35" s="13"/>
      <c r="BE35" s="13"/>
      <c r="BF35" s="13"/>
      <c r="BG35" s="13"/>
      <c r="BH35" s="13"/>
      <c r="BI35" s="13"/>
      <c r="BJ35" s="13"/>
      <c r="BK35" s="13"/>
      <c r="BL35" s="13"/>
      <c r="BM35" s="13"/>
      <c r="BN35" s="13"/>
      <c r="BO35" s="13"/>
      <c r="BP35" s="13"/>
      <c r="BQ35" s="13"/>
      <c r="BR35" s="13"/>
      <c r="BS35" s="13"/>
      <c r="BT35" s="13"/>
      <c r="BU35" s="13"/>
      <c r="BV35" s="13"/>
      <c r="BW35" s="13"/>
      <c r="BX35" s="13"/>
      <c r="BY35" s="13"/>
      <c r="BZ35" s="13"/>
    </row>
    <row r="36" spans="1:78" s="12" customFormat="1" x14ac:dyDescent="0.35">
      <c r="A36" s="1"/>
      <c r="B36" s="105" t="s">
        <v>108</v>
      </c>
      <c r="C36" s="108">
        <f t="shared" si="0"/>
        <v>248.39519333333331</v>
      </c>
      <c r="D36" s="1"/>
      <c r="E36" s="1"/>
      <c r="F36" s="1"/>
      <c r="G36" s="133"/>
      <c r="H36" s="139">
        <f t="shared" ref="H36:H39" si="2">C36</f>
        <v>248.39519333333331</v>
      </c>
      <c r="I36" s="64"/>
      <c r="J36" s="64"/>
      <c r="K36" s="48" t="s">
        <v>105</v>
      </c>
      <c r="L36" s="45" t="s">
        <v>109</v>
      </c>
      <c r="M36" s="99">
        <v>35</v>
      </c>
      <c r="N36" s="45" t="s">
        <v>107</v>
      </c>
      <c r="O36" s="46">
        <f>IF(L36="CO2eq",VLOOKUP(M36,'Emission Factors'!$G$3:$J$18,MATCH(K36,'Emission Factors'!$G$2:$J$2,0),0),IF(L36="CO",VLOOKUP($M36,'Emission Factors'!$G$19:$J$34,MATCH(K36,'Emission Factors'!$G$2:$J$2,0),0),IF(L36="PM2.5",VLOOKUP(M36,'Emission Factors'!$G$35:$J$50,MATCH(K36,'Emission Factors'!$G$2:$J$2,0),0),IF(L36="NOx",VLOOKUP(M36,'Emission Factors'!$G$51:$J$66,MATCH(K36,'Emission Factors'!$G$2:$J$2,0),0),VLOOKUP(M36,'Emission Factors'!$G$67:$J$82,MATCH(K36,'Emission Factors'!$G$2:$J$2,0),0)))))</f>
        <v>2.8012299999999999</v>
      </c>
      <c r="P36" s="156">
        <f>IF($L36="CO2eq",VLOOKUP($M36,'Emission Factors'!$G$88:$J$103,MATCH($K36,'Emission Factors'!$G$87:$J$87,0),0),IF(L36="CO",VLOOKUP($M36,'Emission Factors'!$G$104:$J$119,MATCH(K36,'Emission Factors'!$G$2:$J$2,0),0),IF(L36="PM2.5",VLOOKUP(M36,'Emission Factors'!$G$120:$J$135,MATCH(K36,'Emission Factors'!$G$2:$J$2,0),0),IF(L36="NOx",VLOOKUP(M36,'Emission Factors'!$G$136:$J$151,MATCH(K36,'Emission Factors'!$G$2:$J$2,0),0),VLOOKUP(M36,'Emission Factors'!$G$152:$J$167,MATCH(K36,'Emission Factors'!$G$2:$J$2,0),0)))))</f>
        <v>1.3408100000000001</v>
      </c>
      <c r="Q36" s="156">
        <f>IF($L36="CO2eq",VLOOKUP($M36, 'Emission Factors'!G180:J195,MATCH($K36,'Emission Factors'!$G$2:$J$2,0),0),IF(L36="CO",VLOOKUP($M36, 'Emission Factors'!$G$189:$J$204,MATCH(K36,'Emission Factors'!$G$2:$J$2,0),0),IF(L36="PM2.5",VLOOKUP(M36, 'Emission Factors'!$G$205:$J$220,MATCH(K36,'Emission Factors'!$G$2:$J$2,0),0),IF(L36="NOx",VLOOKUP(M36, 'Emission Factors'!$G$221:$J$236,MATCH(K36,'Emission Factors'!$G$2:$J$2,0),0),VLOOKUP(M36, 'Emission Factors'!$G$237:$J$252,MATCH(K36,'Emission Factors'!$G$2:$J$2,0),0)))))</f>
        <v>0.96630300000000002</v>
      </c>
      <c r="R36" s="64"/>
      <c r="S36" s="64"/>
      <c r="T36" s="64"/>
      <c r="U36" s="64"/>
      <c r="V36" s="64"/>
      <c r="W36" s="64"/>
      <c r="X36" s="64"/>
      <c r="Y36" s="64"/>
      <c r="Z36" s="64"/>
      <c r="AA36" s="64"/>
      <c r="AB36" s="64"/>
      <c r="AC36" s="64"/>
      <c r="AD36" s="64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  <c r="BM36" s="13"/>
      <c r="BN36" s="13"/>
      <c r="BO36" s="13"/>
      <c r="BP36" s="13"/>
      <c r="BQ36" s="13"/>
      <c r="BR36" s="13"/>
      <c r="BS36" s="13"/>
      <c r="BT36" s="13"/>
      <c r="BU36" s="13"/>
      <c r="BV36" s="13"/>
      <c r="BW36" s="13"/>
      <c r="BX36" s="13"/>
      <c r="BY36" s="13"/>
      <c r="BZ36" s="13"/>
    </row>
    <row r="37" spans="1:78" s="12" customFormat="1" x14ac:dyDescent="0.35">
      <c r="A37" s="1"/>
      <c r="B37" s="105" t="s">
        <v>110</v>
      </c>
      <c r="C37" s="108">
        <f t="shared" si="0"/>
        <v>0.41422921833333326</v>
      </c>
      <c r="D37" s="1"/>
      <c r="E37" s="1"/>
      <c r="F37" s="1"/>
      <c r="G37" s="133"/>
      <c r="H37" s="139">
        <f t="shared" si="2"/>
        <v>0.41422921833333326</v>
      </c>
      <c r="I37" s="64"/>
      <c r="J37" s="64"/>
      <c r="K37" s="48" t="s">
        <v>105</v>
      </c>
      <c r="L37" s="45" t="s">
        <v>111</v>
      </c>
      <c r="M37" s="99">
        <v>35</v>
      </c>
      <c r="N37" s="45" t="s">
        <v>107</v>
      </c>
      <c r="O37" s="46">
        <f>IF(L37="CO2eq",VLOOKUP(M37,'Emission Factors'!$G$3:$J$18,MATCH(K37,'Emission Factors'!$G$2:$J$2,0),0),IF(L37="CO",VLOOKUP($M37,'Emission Factors'!$G$19:$J$34,MATCH(K37,'Emission Factors'!$G$2:$J$2,0),0),IF(L37="PM2.5",VLOOKUP(M37,'Emission Factors'!$G$35:$J$50,MATCH(K37,'Emission Factors'!$G$2:$J$2,0),0),IF(L37="NOx",VLOOKUP(M37,'Emission Factors'!$G$51:$J$66,MATCH(K37,'Emission Factors'!$G$2:$J$2,0),0),VLOOKUP(M37,'Emission Factors'!$G$67:$J$82,MATCH(K37,'Emission Factors'!$G$2:$J$2,0),0)))))</f>
        <v>3.88069E-3</v>
      </c>
      <c r="P37" s="156">
        <f>IF($L37="CO2eq",VLOOKUP($M37,'Emission Factors'!$G$88:$J$103,MATCH($K37,'Emission Factors'!$G$87:$J$87,0),0),IF(L37="CO",VLOOKUP($M37,'Emission Factors'!$G$104:$J$119,MATCH(K37,'Emission Factors'!$G$2:$J$2,0),0),IF(L37="PM2.5",VLOOKUP(M37,'Emission Factors'!$G$120:$J$135,MATCH(K37,'Emission Factors'!$G$2:$J$2,0),0),IF(L37="NOx",VLOOKUP(M37,'Emission Factors'!$G$136:$J$151,MATCH(K37,'Emission Factors'!$G$2:$J$2,0),0),VLOOKUP(M37,'Emission Factors'!$G$152:$J$167,MATCH(K37,'Emission Factors'!$G$2:$J$2,0),0)))))</f>
        <v>1.44056E-3</v>
      </c>
      <c r="Q37" s="156">
        <f>IF($L37="CO2eq",VLOOKUP($M37, 'Emission Factors'!G181:J196,MATCH($K37,'Emission Factors'!$G$2:$J$2,0),0),IF(L37="CO",VLOOKUP($M37, 'Emission Factors'!$G$189:$J$204,MATCH(K37,'Emission Factors'!$G$2:$J$2,0),0),IF(L37="PM2.5",VLOOKUP(M37, 'Emission Factors'!$G$205:$J$220,MATCH(K37,'Emission Factors'!$G$2:$J$2,0),0),IF(L37="NOx",VLOOKUP(M37, 'Emission Factors'!$G$221:$J$236,MATCH(K37,'Emission Factors'!$G$2:$J$2,0),0),VLOOKUP(M37, 'Emission Factors'!$G$237:$J$252,MATCH(K37,'Emission Factors'!$G$2:$J$2,0),0)))))</f>
        <v>1.0138199999999999E-3</v>
      </c>
      <c r="R37" s="64"/>
      <c r="S37" s="64"/>
      <c r="T37" s="64"/>
      <c r="U37" s="64"/>
      <c r="V37" s="64"/>
      <c r="W37" s="64"/>
      <c r="X37" s="64"/>
      <c r="Y37" s="64"/>
      <c r="Z37" s="64"/>
      <c r="AA37" s="64"/>
      <c r="AB37" s="64"/>
      <c r="AC37" s="64"/>
      <c r="AD37" s="64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  <c r="BM37" s="13"/>
      <c r="BN37" s="13"/>
      <c r="BO37" s="13"/>
      <c r="BP37" s="13"/>
      <c r="BQ37" s="13"/>
      <c r="BR37" s="13"/>
      <c r="BS37" s="13"/>
      <c r="BT37" s="13"/>
      <c r="BU37" s="13"/>
      <c r="BV37" s="13"/>
      <c r="BW37" s="13"/>
      <c r="BX37" s="13"/>
      <c r="BY37" s="13"/>
      <c r="BZ37" s="13"/>
    </row>
    <row r="38" spans="1:78" s="12" customFormat="1" x14ac:dyDescent="0.35">
      <c r="A38" s="1"/>
      <c r="B38" s="105" t="s">
        <v>112</v>
      </c>
      <c r="C38" s="108">
        <f t="shared" si="0"/>
        <v>41.369416749999992</v>
      </c>
      <c r="D38" s="1"/>
      <c r="E38" s="1"/>
      <c r="F38" s="1"/>
      <c r="G38" s="133"/>
      <c r="H38" s="139">
        <f t="shared" si="2"/>
        <v>41.369416749999992</v>
      </c>
      <c r="I38" s="64"/>
      <c r="J38" s="64"/>
      <c r="K38" s="48" t="s">
        <v>105</v>
      </c>
      <c r="L38" s="45" t="s">
        <v>113</v>
      </c>
      <c r="M38" s="99">
        <v>35</v>
      </c>
      <c r="N38" s="45" t="s">
        <v>107</v>
      </c>
      <c r="O38" s="46">
        <f>IF(L38="CO2eq",VLOOKUP(M38,'Emission Factors'!$G$3:$J$18,MATCH(K38,'Emission Factors'!$G$2:$J$2,0),0),IF(L38="CO",VLOOKUP($M38,'Emission Factors'!$G$19:$J$34,MATCH(K38,'Emission Factors'!$G$2:$J$2,0),0),IF(L38="PM2.5",VLOOKUP(M38,'Emission Factors'!$G$35:$J$50,MATCH(K38,'Emission Factors'!$G$2:$J$2,0),0),IF(L38="NOx",VLOOKUP(M38,'Emission Factors'!$G$51:$J$66,MATCH(K38,'Emission Factors'!$G$2:$J$2,0),0),VLOOKUP(M38,'Emission Factors'!$G$67:$J$82,MATCH(K38,'Emission Factors'!$G$2:$J$2,0),0)))))</f>
        <v>0.31547700000000001</v>
      </c>
      <c r="P38" s="156">
        <f>IF($L38="CO2eq",VLOOKUP($M38,'Emission Factors'!$G$88:$J$103,MATCH($K38,'Emission Factors'!$G$87:$J$87,0),0),IF(L38="CO",VLOOKUP($M38,'Emission Factors'!$G$104:$J$119,MATCH(K38,'Emission Factors'!$G$2:$J$2,0),0),IF(L38="PM2.5",VLOOKUP(M38,'Emission Factors'!$G$120:$J$135,MATCH(K38,'Emission Factors'!$G$2:$J$2,0),0),IF(L38="NOx",VLOOKUP(M38,'Emission Factors'!$G$136:$J$151,MATCH(K38,'Emission Factors'!$G$2:$J$2,0),0),VLOOKUP(M38,'Emission Factors'!$G$152:$J$167,MATCH(K38,'Emission Factors'!$G$2:$J$2,0),0)))))</f>
        <v>7.1350499999999997E-2</v>
      </c>
      <c r="Q38" s="156">
        <f>IF($L38="CO2eq",VLOOKUP($M38, 'Emission Factors'!G182:J197,MATCH($K38,'Emission Factors'!$G$2:$J$2,0),0),IF(L38="CO",VLOOKUP($M38, 'Emission Factors'!$G$189:$J$204,MATCH(K38,'Emission Factors'!$G$2:$J$2,0),0),IF(L38="PM2.5",VLOOKUP(M38, 'Emission Factors'!$G$205:$J$220,MATCH(K38,'Emission Factors'!$G$2:$J$2,0),0),IF(L38="NOx",VLOOKUP(M38, 'Emission Factors'!$G$221:$J$236,MATCH(K38,'Emission Factors'!$G$2:$J$2,0),0),VLOOKUP(M38, 'Emission Factors'!$G$237:$J$252,MATCH(K38,'Emission Factors'!$G$2:$J$2,0),0)))))</f>
        <v>1.9481600000000002E-2</v>
      </c>
      <c r="R38" s="64"/>
      <c r="S38" s="64"/>
      <c r="T38" s="64"/>
      <c r="U38" s="64"/>
      <c r="V38" s="64"/>
      <c r="W38" s="64"/>
      <c r="X38" s="64"/>
      <c r="Y38" s="64"/>
      <c r="Z38" s="64"/>
      <c r="AA38" s="64"/>
      <c r="AB38" s="64"/>
      <c r="AC38" s="64"/>
      <c r="AD38" s="64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3"/>
      <c r="BD38" s="13"/>
      <c r="BE38" s="13"/>
      <c r="BF38" s="13"/>
      <c r="BG38" s="13"/>
      <c r="BH38" s="13"/>
      <c r="BI38" s="13"/>
      <c r="BJ38" s="13"/>
      <c r="BK38" s="13"/>
      <c r="BL38" s="13"/>
      <c r="BM38" s="13"/>
      <c r="BN38" s="13"/>
      <c r="BO38" s="13"/>
      <c r="BP38" s="13"/>
      <c r="BQ38" s="13"/>
      <c r="BR38" s="13"/>
      <c r="BS38" s="13"/>
      <c r="BT38" s="13"/>
      <c r="BU38" s="13"/>
      <c r="BV38" s="13"/>
      <c r="BW38" s="13"/>
      <c r="BX38" s="13"/>
      <c r="BY38" s="13"/>
      <c r="BZ38" s="13"/>
    </row>
    <row r="39" spans="1:78" s="12" customFormat="1" x14ac:dyDescent="0.35">
      <c r="A39" s="1"/>
      <c r="B39" s="105" t="s">
        <v>114</v>
      </c>
      <c r="C39" s="108">
        <f t="shared" si="0"/>
        <v>8.1845177833333356</v>
      </c>
      <c r="D39" s="1"/>
      <c r="E39" s="1"/>
      <c r="F39" s="1"/>
      <c r="G39" s="133"/>
      <c r="H39" s="139">
        <f t="shared" si="2"/>
        <v>8.1845177833333356</v>
      </c>
      <c r="I39" s="64"/>
      <c r="J39" s="64"/>
      <c r="K39" s="49" t="s">
        <v>105</v>
      </c>
      <c r="L39" s="50" t="s">
        <v>115</v>
      </c>
      <c r="M39" s="51">
        <v>35</v>
      </c>
      <c r="N39" s="50" t="s">
        <v>107</v>
      </c>
      <c r="O39" s="52">
        <f>IF(L39="CO2eq",VLOOKUP(M39,'Emission Factors'!$G$3:$J$18,MATCH(K39,'Emission Factors'!$G$2:$J$2,0),0),IF(L39="CO",VLOOKUP($M39,'Emission Factors'!$G$19:$J$34,MATCH(K39,'Emission Factors'!$G$2:$J$2,0),0),IF(L39="PM2.5",VLOOKUP(M39,'Emission Factors'!$G$35:$J$50,MATCH(K39,'Emission Factors'!$G$2:$J$2,0),0),IF(L39="NOx",VLOOKUP(M39,'Emission Factors'!$G$51:$J$66,MATCH(K39,'Emission Factors'!$G$2:$J$2,0),0),VLOOKUP(M39,'Emission Factors'!$G$67:$J$82,MATCH(K39,'Emission Factors'!$G$2:$J$2,0),0)))))</f>
        <v>6.5010700000000005E-2</v>
      </c>
      <c r="P39" s="157">
        <f>IF($L39="CO2eq",VLOOKUP($M39,'Emission Factors'!$G$88:$J$103,MATCH($K39,'Emission Factors'!$G$87:$J$87,0),0),IF(L39="CO",VLOOKUP($M39,'Emission Factors'!$G$104:$J$119,MATCH(K39,'Emission Factors'!$G$2:$J$2,0),0),IF(L39="PM2.5",VLOOKUP(M39,'Emission Factors'!$G$120:$J$135,MATCH(K39,'Emission Factors'!$G$2:$J$2,0),0),IF(L39="NOx",VLOOKUP(M39,'Emission Factors'!$G$136:$J$151,MATCH(K39,'Emission Factors'!$G$2:$J$2,0),0),VLOOKUP(M39,'Emission Factors'!$G$152:$J$167,MATCH(K39,'Emission Factors'!$G$2:$J$2,0),0)))))</f>
        <v>1.6728199999999999E-2</v>
      </c>
      <c r="Q39" s="157">
        <f>IF($L39="CO2eq",VLOOKUP($M39, 'Emission Factors'!G183:J198,MATCH($K39,'Emission Factors'!$G$2:$J$2,0),0),IF(L39="CO",VLOOKUP($M39, 'Emission Factors'!$G$189:$J$204,MATCH(K39,'Emission Factors'!$G$2:$J$2,0),0),IF(L39="PM2.5",VLOOKUP(M39, 'Emission Factors'!$G$205:$J$220,MATCH(K39,'Emission Factors'!$G$2:$J$2,0),0),IF(L39="NOx",VLOOKUP(M39, 'Emission Factors'!$G$221:$J$236,MATCH(K39,'Emission Factors'!$G$2:$J$2,0),0),VLOOKUP(M39, 'Emission Factors'!$G$237:$J$252,MATCH(K39,'Emission Factors'!$G$2:$J$2,0),0)))))</f>
        <v>1.1268800000000001E-2</v>
      </c>
      <c r="R39" s="64"/>
      <c r="S39" s="64"/>
      <c r="T39" s="64"/>
      <c r="U39" s="64"/>
      <c r="V39" s="64"/>
      <c r="W39" s="64"/>
      <c r="X39" s="64"/>
      <c r="Y39" s="64"/>
      <c r="Z39" s="64"/>
      <c r="AA39" s="64"/>
      <c r="AB39" s="64"/>
      <c r="AC39" s="64"/>
      <c r="AD39" s="64"/>
      <c r="AE39" s="13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3"/>
      <c r="AZ39" s="13"/>
      <c r="BA39" s="13"/>
      <c r="BB39" s="13"/>
      <c r="BC39" s="13"/>
      <c r="BD39" s="13"/>
      <c r="BE39" s="13"/>
      <c r="BF39" s="13"/>
      <c r="BG39" s="13"/>
      <c r="BH39" s="13"/>
      <c r="BI39" s="13"/>
      <c r="BJ39" s="13"/>
      <c r="BK39" s="13"/>
      <c r="BL39" s="13"/>
      <c r="BM39" s="13"/>
      <c r="BN39" s="13"/>
      <c r="BO39" s="13"/>
      <c r="BP39" s="13"/>
      <c r="BQ39" s="13"/>
      <c r="BR39" s="13"/>
      <c r="BS39" s="13"/>
      <c r="BT39" s="13"/>
      <c r="BU39" s="13"/>
      <c r="BV39" s="13"/>
      <c r="BW39" s="13"/>
      <c r="BX39" s="13"/>
      <c r="BY39" s="13"/>
      <c r="BZ39" s="13"/>
    </row>
    <row r="40" spans="1:78" s="12" customFormat="1" x14ac:dyDescent="0.35">
      <c r="A40" s="1"/>
      <c r="B40" s="1"/>
      <c r="C40" s="1"/>
      <c r="D40" s="1"/>
      <c r="E40" s="1"/>
      <c r="F40" s="1"/>
      <c r="G40" s="133"/>
      <c r="H40" s="133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13"/>
      <c r="AF40" s="13"/>
      <c r="AG40" s="13"/>
      <c r="AH40" s="13"/>
      <c r="AI40" s="13"/>
      <c r="AJ40" s="13"/>
      <c r="AK40" s="13"/>
      <c r="AL40" s="13"/>
      <c r="AM40" s="13"/>
      <c r="AN40" s="13"/>
      <c r="AO40" s="13"/>
      <c r="AP40" s="13"/>
      <c r="AQ40" s="13"/>
      <c r="AR40" s="13"/>
      <c r="AS40" s="13"/>
      <c r="AT40" s="13"/>
      <c r="AU40" s="13"/>
      <c r="AV40" s="13"/>
      <c r="AW40" s="13"/>
      <c r="AX40" s="13"/>
      <c r="AY40" s="13"/>
      <c r="AZ40" s="13"/>
      <c r="BA40" s="13"/>
      <c r="BB40" s="13"/>
      <c r="BC40" s="13"/>
      <c r="BD40" s="13"/>
      <c r="BE40" s="13"/>
      <c r="BF40" s="13"/>
      <c r="BG40" s="13"/>
      <c r="BH40" s="13"/>
      <c r="BI40" s="13"/>
      <c r="BJ40" s="13"/>
      <c r="BK40" s="13"/>
      <c r="BL40" s="13"/>
      <c r="BM40" s="13"/>
      <c r="BN40" s="13"/>
      <c r="BO40" s="13"/>
      <c r="BP40" s="13"/>
      <c r="BQ40" s="13"/>
      <c r="BR40" s="13"/>
      <c r="BS40" s="13"/>
      <c r="BT40" s="13"/>
      <c r="BU40" s="13"/>
      <c r="BV40" s="13"/>
      <c r="BW40" s="13"/>
      <c r="BX40" s="13"/>
      <c r="BY40" s="13"/>
      <c r="BZ40" s="13"/>
    </row>
    <row r="41" spans="1:78" s="12" customFormat="1" x14ac:dyDescent="0.35">
      <c r="B41" s="64"/>
      <c r="C41" s="64"/>
      <c r="D41" s="64"/>
      <c r="E41" s="64"/>
      <c r="F41" s="64"/>
      <c r="G41" s="133"/>
      <c r="H41" s="133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4"/>
      <c r="AD41" s="64"/>
      <c r="AE41" s="13"/>
      <c r="AF41" s="13"/>
      <c r="AG41" s="13"/>
      <c r="AH41" s="13"/>
      <c r="AI41" s="13"/>
      <c r="AJ41" s="13"/>
      <c r="AK41" s="13"/>
      <c r="AL41" s="13"/>
      <c r="AM41" s="13"/>
      <c r="AN41" s="13"/>
      <c r="AO41" s="13"/>
      <c r="AP41" s="13"/>
      <c r="AQ41" s="13"/>
      <c r="AR41" s="13"/>
      <c r="AS41" s="13"/>
      <c r="AT41" s="13"/>
      <c r="AU41" s="13"/>
      <c r="AV41" s="13"/>
      <c r="AW41" s="13"/>
      <c r="AX41" s="13"/>
      <c r="AY41" s="13"/>
      <c r="AZ41" s="13"/>
      <c r="BA41" s="13"/>
      <c r="BB41" s="13"/>
      <c r="BC41" s="13"/>
      <c r="BD41" s="13"/>
      <c r="BE41" s="13"/>
      <c r="BF41" s="13"/>
      <c r="BG41" s="13"/>
      <c r="BH41" s="13"/>
      <c r="BI41" s="13"/>
      <c r="BJ41" s="13"/>
      <c r="BK41" s="13"/>
      <c r="BL41" s="13"/>
      <c r="BM41" s="13"/>
      <c r="BN41" s="13"/>
      <c r="BO41" s="13"/>
      <c r="BP41" s="13"/>
      <c r="BQ41" s="13"/>
      <c r="BR41" s="13"/>
      <c r="BS41" s="13"/>
      <c r="BT41" s="13"/>
      <c r="BU41" s="13"/>
      <c r="BV41" s="13"/>
      <c r="BW41" s="13"/>
      <c r="BX41" s="13"/>
      <c r="BY41" s="13"/>
      <c r="BZ41" s="13"/>
    </row>
    <row r="42" spans="1:78" s="64" customFormat="1" ht="15.5" x14ac:dyDescent="0.35">
      <c r="A42" s="1"/>
      <c r="B42" s="61" t="s">
        <v>116</v>
      </c>
      <c r="C42" s="1"/>
      <c r="D42" s="1"/>
      <c r="E42" s="60"/>
      <c r="F42" s="60"/>
      <c r="G42" s="133"/>
      <c r="H42" s="133"/>
      <c r="AE42" s="13"/>
      <c r="AF42" s="13"/>
      <c r="AG42" s="13"/>
      <c r="AH42" s="13"/>
      <c r="AI42" s="13"/>
      <c r="AJ42" s="13"/>
      <c r="AK42" s="13"/>
      <c r="AL42" s="13"/>
      <c r="AM42" s="13"/>
      <c r="AN42" s="13"/>
      <c r="AO42" s="13"/>
      <c r="AP42" s="13"/>
      <c r="AQ42" s="13"/>
      <c r="AR42" s="13"/>
      <c r="AS42" s="13"/>
      <c r="AT42" s="13"/>
      <c r="AU42" s="13"/>
      <c r="AV42" s="13"/>
      <c r="AW42" s="13"/>
      <c r="AX42" s="13"/>
      <c r="AY42" s="13"/>
      <c r="AZ42" s="13"/>
      <c r="BA42" s="13"/>
      <c r="BB42" s="13"/>
      <c r="BC42" s="13"/>
      <c r="BD42" s="13"/>
      <c r="BE42" s="13"/>
      <c r="BF42" s="13"/>
      <c r="BG42" s="13"/>
      <c r="BH42" s="13"/>
      <c r="BI42" s="13"/>
      <c r="BJ42" s="13"/>
      <c r="BK42" s="13"/>
      <c r="BL42" s="13"/>
      <c r="BM42" s="13"/>
      <c r="BN42" s="13"/>
      <c r="BO42" s="13"/>
      <c r="BP42" s="13"/>
      <c r="BQ42" s="13"/>
      <c r="BR42" s="13"/>
      <c r="BS42" s="13"/>
      <c r="BT42" s="13"/>
      <c r="BU42" s="13"/>
      <c r="BV42" s="13"/>
      <c r="BW42" s="13"/>
      <c r="BX42" s="13"/>
      <c r="BY42" s="13"/>
      <c r="BZ42" s="13"/>
    </row>
    <row r="43" spans="1:78" s="60" customFormat="1" x14ac:dyDescent="0.35">
      <c r="B43" s="102" t="s">
        <v>84</v>
      </c>
      <c r="C43" s="102" t="s">
        <v>85</v>
      </c>
      <c r="G43" s="133"/>
      <c r="H43" s="133"/>
      <c r="I43" s="64"/>
      <c r="J43" s="64"/>
      <c r="K43" s="64"/>
      <c r="L43" s="65"/>
      <c r="M43" s="65"/>
      <c r="N43" s="65"/>
      <c r="O43" s="65"/>
      <c r="P43" s="65"/>
      <c r="Q43" s="65"/>
      <c r="R43" s="65"/>
      <c r="S43" s="65"/>
      <c r="T43" s="65"/>
      <c r="U43" s="65"/>
      <c r="V43" s="65"/>
      <c r="W43" s="65"/>
      <c r="X43" s="65"/>
      <c r="Y43" s="65"/>
      <c r="Z43" s="65"/>
      <c r="AA43" s="65"/>
      <c r="AB43" s="65"/>
      <c r="AC43" s="65"/>
      <c r="AD43" s="65"/>
      <c r="AE43" s="504"/>
      <c r="AF43" s="504"/>
      <c r="AG43" s="504"/>
      <c r="AH43" s="504"/>
      <c r="AI43" s="504"/>
      <c r="AJ43" s="504"/>
      <c r="AK43" s="504"/>
      <c r="AL43" s="504"/>
      <c r="AM43" s="504"/>
      <c r="AN43" s="504"/>
      <c r="AO43" s="504"/>
      <c r="AP43" s="504"/>
      <c r="AQ43" s="504"/>
      <c r="AR43" s="504"/>
      <c r="AS43" s="504"/>
      <c r="AT43" s="504"/>
      <c r="AU43" s="504"/>
      <c r="AV43" s="504"/>
      <c r="AW43" s="504"/>
      <c r="AX43" s="504"/>
      <c r="AY43" s="504"/>
      <c r="AZ43" s="504"/>
      <c r="BA43" s="504"/>
      <c r="BB43" s="504"/>
      <c r="BC43" s="504"/>
      <c r="BD43" s="504"/>
      <c r="BE43" s="504"/>
      <c r="BF43" s="504"/>
      <c r="BG43" s="504"/>
      <c r="BH43" s="504"/>
      <c r="BI43" s="504"/>
      <c r="BJ43" s="504"/>
      <c r="BK43" s="504"/>
      <c r="BL43" s="504"/>
      <c r="BM43" s="504"/>
      <c r="BN43" s="504"/>
      <c r="BO43" s="504"/>
      <c r="BP43" s="504"/>
      <c r="BQ43" s="504"/>
      <c r="BR43" s="504"/>
      <c r="BS43" s="504"/>
      <c r="BT43" s="504"/>
      <c r="BU43" s="504"/>
      <c r="BV43" s="504"/>
      <c r="BW43" s="504"/>
      <c r="BX43" s="504"/>
      <c r="BY43" s="504"/>
      <c r="BZ43" s="504"/>
    </row>
    <row r="44" spans="1:78" s="60" customFormat="1" x14ac:dyDescent="0.35">
      <c r="B44" s="112" t="s">
        <v>62</v>
      </c>
      <c r="C44" s="131">
        <f>IF(SUM(I18)&gt;0,"(Error]",H14*H24/H18*H17)</f>
        <v>0</v>
      </c>
      <c r="G44" s="133"/>
      <c r="H44" s="140">
        <f>C44</f>
        <v>0</v>
      </c>
      <c r="I44" s="64"/>
      <c r="J44" s="64"/>
      <c r="K44" s="64"/>
      <c r="L44" s="65"/>
      <c r="M44" s="65"/>
      <c r="N44" s="65"/>
      <c r="O44" s="65"/>
      <c r="P44" s="65"/>
      <c r="Q44" s="65"/>
      <c r="R44" s="65"/>
      <c r="S44" s="65"/>
      <c r="T44" s="65"/>
      <c r="U44" s="65"/>
      <c r="V44" s="65"/>
      <c r="W44" s="65"/>
      <c r="X44" s="65"/>
      <c r="Y44" s="65"/>
      <c r="Z44" s="65"/>
      <c r="AA44" s="65"/>
      <c r="AB44" s="65"/>
      <c r="AC44" s="65"/>
      <c r="AD44" s="65"/>
      <c r="AE44" s="504"/>
      <c r="AF44" s="504"/>
      <c r="AG44" s="504"/>
      <c r="AH44" s="504"/>
      <c r="AI44" s="504"/>
      <c r="AJ44" s="504"/>
      <c r="AK44" s="504"/>
      <c r="AL44" s="504"/>
      <c r="AM44" s="504"/>
      <c r="AN44" s="504"/>
      <c r="AO44" s="504"/>
      <c r="AP44" s="504"/>
      <c r="AQ44" s="504"/>
      <c r="AR44" s="504"/>
      <c r="AS44" s="504"/>
      <c r="AT44" s="504"/>
      <c r="AU44" s="504"/>
      <c r="AV44" s="504"/>
      <c r="AW44" s="504"/>
      <c r="AX44" s="504"/>
      <c r="AY44" s="504"/>
      <c r="AZ44" s="504"/>
      <c r="BA44" s="504"/>
      <c r="BB44" s="504"/>
      <c r="BC44" s="504"/>
      <c r="BD44" s="504"/>
      <c r="BE44" s="504"/>
      <c r="BF44" s="504"/>
      <c r="BG44" s="504"/>
      <c r="BH44" s="504"/>
      <c r="BI44" s="504"/>
      <c r="BJ44" s="504"/>
      <c r="BK44" s="504"/>
      <c r="BL44" s="504"/>
      <c r="BM44" s="504"/>
      <c r="BN44" s="504"/>
      <c r="BO44" s="504"/>
      <c r="BP44" s="504"/>
      <c r="BQ44" s="504"/>
      <c r="BR44" s="504"/>
      <c r="BS44" s="504"/>
      <c r="BT44" s="504"/>
      <c r="BU44" s="504"/>
      <c r="BV44" s="504"/>
      <c r="BW44" s="504"/>
      <c r="BX44" s="504"/>
      <c r="BY44" s="504"/>
      <c r="BZ44" s="504"/>
    </row>
    <row r="45" spans="1:78" s="60" customFormat="1" x14ac:dyDescent="0.35">
      <c r="B45" s="111" t="s">
        <v>65</v>
      </c>
      <c r="C45" s="131">
        <f>IF(SUM($I$18)&gt;0,"(Error]",$H$44*H35/1000)</f>
        <v>0</v>
      </c>
      <c r="G45" s="133"/>
      <c r="H45" s="140">
        <f>C45</f>
        <v>0</v>
      </c>
      <c r="I45" s="64"/>
      <c r="J45" s="64"/>
      <c r="K45" s="64"/>
      <c r="L45" s="65"/>
      <c r="M45" s="65"/>
      <c r="N45" s="65"/>
      <c r="O45" s="65"/>
      <c r="P45" s="65"/>
      <c r="Q45" s="65"/>
      <c r="R45" s="65"/>
      <c r="S45" s="65"/>
      <c r="T45" s="65"/>
      <c r="U45" s="65"/>
      <c r="V45" s="65"/>
      <c r="W45" s="65"/>
      <c r="X45" s="65"/>
      <c r="Y45" s="65"/>
      <c r="Z45" s="65"/>
      <c r="AA45" s="65"/>
      <c r="AB45" s="65"/>
      <c r="AC45" s="65"/>
      <c r="AD45" s="65"/>
      <c r="AE45" s="504"/>
      <c r="AF45" s="504"/>
      <c r="AG45" s="504"/>
      <c r="AH45" s="504"/>
      <c r="AI45" s="504"/>
      <c r="AJ45" s="504"/>
      <c r="AK45" s="504"/>
      <c r="AL45" s="504"/>
      <c r="AM45" s="504"/>
      <c r="AN45" s="504"/>
      <c r="AO45" s="504"/>
      <c r="AP45" s="504"/>
      <c r="AQ45" s="504"/>
      <c r="AR45" s="504"/>
      <c r="AS45" s="504"/>
      <c r="AT45" s="504"/>
      <c r="AU45" s="504"/>
      <c r="AV45" s="504"/>
      <c r="AW45" s="504"/>
      <c r="AX45" s="504"/>
      <c r="AY45" s="504"/>
      <c r="AZ45" s="504"/>
      <c r="BA45" s="504"/>
      <c r="BB45" s="504"/>
      <c r="BC45" s="504"/>
      <c r="BD45" s="504"/>
      <c r="BE45" s="504"/>
      <c r="BF45" s="504"/>
      <c r="BG45" s="504"/>
      <c r="BH45" s="504"/>
      <c r="BI45" s="504"/>
      <c r="BJ45" s="504"/>
      <c r="BK45" s="504"/>
      <c r="BL45" s="504"/>
      <c r="BM45" s="504"/>
      <c r="BN45" s="504"/>
      <c r="BO45" s="504"/>
      <c r="BP45" s="504"/>
      <c r="BQ45" s="504"/>
      <c r="BR45" s="504"/>
      <c r="BS45" s="504"/>
      <c r="BT45" s="504"/>
      <c r="BU45" s="504"/>
      <c r="BV45" s="504"/>
      <c r="BW45" s="504"/>
      <c r="BX45" s="504"/>
      <c r="BY45" s="504"/>
      <c r="BZ45" s="504"/>
    </row>
    <row r="46" spans="1:78" s="60" customFormat="1" x14ac:dyDescent="0.35">
      <c r="B46" s="111" t="s">
        <v>66</v>
      </c>
      <c r="C46" s="131">
        <f>IF(SUM($I$18)&gt;0,"(Error]",$H$44*H36/1000)</f>
        <v>0</v>
      </c>
      <c r="G46" s="133"/>
      <c r="H46" s="140">
        <f t="shared" ref="H46:H49" si="3">C46</f>
        <v>0</v>
      </c>
      <c r="I46" s="64"/>
      <c r="J46" s="64"/>
      <c r="K46" s="64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  <c r="AA46" s="65"/>
      <c r="AB46" s="65"/>
      <c r="AC46" s="65"/>
      <c r="AD46" s="65"/>
      <c r="AE46" s="504"/>
      <c r="AF46" s="504"/>
      <c r="AG46" s="504"/>
      <c r="AH46" s="504"/>
      <c r="AI46" s="504"/>
      <c r="AJ46" s="504"/>
      <c r="AK46" s="504"/>
      <c r="AL46" s="504"/>
      <c r="AM46" s="504"/>
      <c r="AN46" s="504"/>
      <c r="AO46" s="504"/>
      <c r="AP46" s="504"/>
      <c r="AQ46" s="504"/>
      <c r="AR46" s="504"/>
      <c r="AS46" s="504"/>
      <c r="AT46" s="504"/>
      <c r="AU46" s="504"/>
      <c r="AV46" s="504"/>
      <c r="AW46" s="504"/>
      <c r="AX46" s="504"/>
      <c r="AY46" s="504"/>
      <c r="AZ46" s="504"/>
      <c r="BA46" s="504"/>
      <c r="BB46" s="504"/>
      <c r="BC46" s="504"/>
      <c r="BD46" s="504"/>
      <c r="BE46" s="504"/>
      <c r="BF46" s="504"/>
      <c r="BG46" s="504"/>
      <c r="BH46" s="504"/>
      <c r="BI46" s="504"/>
      <c r="BJ46" s="504"/>
      <c r="BK46" s="504"/>
      <c r="BL46" s="504"/>
      <c r="BM46" s="504"/>
      <c r="BN46" s="504"/>
      <c r="BO46" s="504"/>
      <c r="BP46" s="504"/>
      <c r="BQ46" s="504"/>
      <c r="BR46" s="504"/>
      <c r="BS46" s="504"/>
      <c r="BT46" s="504"/>
      <c r="BU46" s="504"/>
      <c r="BV46" s="504"/>
      <c r="BW46" s="504"/>
      <c r="BX46" s="504"/>
      <c r="BY46" s="504"/>
      <c r="BZ46" s="504"/>
    </row>
    <row r="47" spans="1:78" s="60" customFormat="1" x14ac:dyDescent="0.35">
      <c r="B47" s="111" t="s">
        <v>67</v>
      </c>
      <c r="C47" s="131">
        <f>IF(SUM($I$18)&gt;0,"(Error]",$H$44*H37/1000)</f>
        <v>0</v>
      </c>
      <c r="D47" s="1"/>
      <c r="E47" s="1"/>
      <c r="F47" s="1"/>
      <c r="G47" s="133"/>
      <c r="H47" s="140">
        <f t="shared" si="3"/>
        <v>0</v>
      </c>
      <c r="I47" s="64"/>
      <c r="J47" s="64"/>
      <c r="K47" s="64"/>
      <c r="L47" s="64"/>
      <c r="M47" s="65"/>
      <c r="N47" s="65"/>
      <c r="O47" s="65"/>
      <c r="P47" s="65"/>
      <c r="Q47" s="65"/>
      <c r="R47" s="65"/>
      <c r="S47" s="65"/>
      <c r="T47" s="65"/>
      <c r="U47" s="65"/>
      <c r="V47" s="65"/>
      <c r="W47" s="65"/>
      <c r="X47" s="65"/>
      <c r="Y47" s="65"/>
      <c r="Z47" s="65"/>
      <c r="AA47" s="65"/>
      <c r="AB47" s="65"/>
      <c r="AC47" s="65"/>
      <c r="AD47" s="65"/>
      <c r="AE47" s="504"/>
      <c r="AF47" s="504"/>
      <c r="AG47" s="504"/>
      <c r="AH47" s="504"/>
      <c r="AI47" s="504"/>
      <c r="AJ47" s="504"/>
      <c r="AK47" s="504"/>
      <c r="AL47" s="504"/>
      <c r="AM47" s="504"/>
      <c r="AN47" s="504"/>
      <c r="AO47" s="504"/>
      <c r="AP47" s="504"/>
      <c r="AQ47" s="504"/>
      <c r="AR47" s="504"/>
      <c r="AS47" s="504"/>
      <c r="AT47" s="504"/>
      <c r="AU47" s="504"/>
      <c r="AV47" s="504"/>
      <c r="AW47" s="504"/>
      <c r="AX47" s="504"/>
      <c r="AY47" s="504"/>
      <c r="AZ47" s="504"/>
      <c r="BA47" s="504"/>
      <c r="BB47" s="504"/>
      <c r="BC47" s="504"/>
      <c r="BD47" s="504"/>
      <c r="BE47" s="504"/>
      <c r="BF47" s="504"/>
      <c r="BG47" s="504"/>
      <c r="BH47" s="504"/>
      <c r="BI47" s="504"/>
      <c r="BJ47" s="504"/>
      <c r="BK47" s="504"/>
      <c r="BL47" s="504"/>
      <c r="BM47" s="504"/>
      <c r="BN47" s="504"/>
      <c r="BO47" s="504"/>
      <c r="BP47" s="504"/>
      <c r="BQ47" s="504"/>
      <c r="BR47" s="504"/>
      <c r="BS47" s="504"/>
      <c r="BT47" s="504"/>
      <c r="BU47" s="504"/>
      <c r="BV47" s="504"/>
      <c r="BW47" s="504"/>
      <c r="BX47" s="504"/>
      <c r="BY47" s="504"/>
      <c r="BZ47" s="504"/>
    </row>
    <row r="48" spans="1:78" x14ac:dyDescent="0.35">
      <c r="B48" s="111" t="s">
        <v>68</v>
      </c>
      <c r="C48" s="131">
        <f>IF(SUM($I$18)&gt;0,"(Error]",$H$44*H38/1000)</f>
        <v>0</v>
      </c>
      <c r="G48" s="133"/>
      <c r="H48" s="140">
        <f t="shared" si="3"/>
        <v>0</v>
      </c>
      <c r="I48" s="64"/>
      <c r="M48" s="64"/>
    </row>
    <row r="49" spans="1:78" x14ac:dyDescent="0.35">
      <c r="B49" s="111" t="s">
        <v>69</v>
      </c>
      <c r="C49" s="131">
        <f>IF(SUM($I$18)&gt;0,"(Error]",$H$44*H39/1000)</f>
        <v>0</v>
      </c>
      <c r="G49" s="133"/>
      <c r="H49" s="140">
        <f t="shared" si="3"/>
        <v>0</v>
      </c>
      <c r="I49" s="64"/>
      <c r="M49" s="64"/>
    </row>
    <row r="50" spans="1:78" x14ac:dyDescent="0.35">
      <c r="G50" s="128"/>
      <c r="H50" s="128"/>
      <c r="I50" s="64"/>
      <c r="M50" s="64"/>
    </row>
    <row r="51" spans="1:78" x14ac:dyDescent="0.35">
      <c r="A51" s="64"/>
      <c r="B51" s="64"/>
      <c r="C51" s="64"/>
      <c r="D51" s="64"/>
      <c r="E51" s="64"/>
      <c r="F51" s="64"/>
      <c r="G51" s="128"/>
      <c r="H51" s="128"/>
      <c r="I51" s="64"/>
      <c r="M51" s="64"/>
    </row>
    <row r="52" spans="1:78" s="64" customFormat="1" x14ac:dyDescent="0.35">
      <c r="G52" s="128"/>
      <c r="H52" s="128"/>
      <c r="AE52" s="13"/>
      <c r="AF52" s="13"/>
      <c r="AG52" s="13"/>
      <c r="AH52" s="13"/>
      <c r="AI52" s="13"/>
      <c r="AJ52" s="13"/>
      <c r="AK52" s="13"/>
      <c r="AL52" s="13"/>
      <c r="AM52" s="13"/>
      <c r="AN52" s="13"/>
      <c r="AO52" s="13"/>
      <c r="AP52" s="13"/>
      <c r="AQ52" s="13"/>
      <c r="AR52" s="13"/>
      <c r="AS52" s="13"/>
      <c r="AT52" s="13"/>
      <c r="AU52" s="13"/>
      <c r="AV52" s="13"/>
      <c r="AW52" s="13"/>
      <c r="AX52" s="13"/>
      <c r="AY52" s="13"/>
      <c r="AZ52" s="13"/>
      <c r="BA52" s="13"/>
      <c r="BB52" s="13"/>
      <c r="BC52" s="13"/>
      <c r="BD52" s="13"/>
      <c r="BE52" s="13"/>
      <c r="BF52" s="13"/>
      <c r="BG52" s="13"/>
      <c r="BH52" s="13"/>
      <c r="BI52" s="13"/>
      <c r="BJ52" s="13"/>
      <c r="BK52" s="13"/>
      <c r="BL52" s="13"/>
      <c r="BM52" s="13"/>
      <c r="BN52" s="13"/>
      <c r="BO52" s="13"/>
      <c r="BP52" s="13"/>
      <c r="BQ52" s="13"/>
      <c r="BR52" s="13"/>
      <c r="BS52" s="13"/>
      <c r="BT52" s="13"/>
      <c r="BU52" s="13"/>
      <c r="BV52" s="13"/>
      <c r="BW52" s="13"/>
      <c r="BX52" s="13"/>
      <c r="BY52" s="13"/>
      <c r="BZ52" s="13"/>
    </row>
    <row r="53" spans="1:78" s="64" customFormat="1" x14ac:dyDescent="0.35">
      <c r="G53" s="128"/>
      <c r="H53" s="128"/>
      <c r="AE53" s="13"/>
      <c r="AF53" s="13"/>
      <c r="AG53" s="13"/>
      <c r="AH53" s="13"/>
      <c r="AI53" s="13"/>
      <c r="AJ53" s="13"/>
      <c r="AK53" s="13"/>
      <c r="AL53" s="13"/>
      <c r="AM53" s="13"/>
      <c r="AN53" s="13"/>
      <c r="AO53" s="13"/>
      <c r="AP53" s="13"/>
      <c r="AQ53" s="13"/>
      <c r="AR53" s="13"/>
      <c r="AS53" s="13"/>
      <c r="AT53" s="13"/>
      <c r="AU53" s="13"/>
      <c r="AV53" s="13"/>
      <c r="AW53" s="13"/>
      <c r="AX53" s="13"/>
      <c r="AY53" s="13"/>
      <c r="AZ53" s="13"/>
      <c r="BA53" s="13"/>
      <c r="BB53" s="13"/>
      <c r="BC53" s="13"/>
      <c r="BD53" s="13"/>
      <c r="BE53" s="13"/>
      <c r="BF53" s="13"/>
      <c r="BG53" s="13"/>
      <c r="BH53" s="13"/>
      <c r="BI53" s="13"/>
      <c r="BJ53" s="13"/>
      <c r="BK53" s="13"/>
      <c r="BL53" s="13"/>
      <c r="BM53" s="13"/>
      <c r="BN53" s="13"/>
      <c r="BO53" s="13"/>
      <c r="BP53" s="13"/>
      <c r="BQ53" s="13"/>
      <c r="BR53" s="13"/>
      <c r="BS53" s="13"/>
      <c r="BT53" s="13"/>
      <c r="BU53" s="13"/>
      <c r="BV53" s="13"/>
      <c r="BW53" s="13"/>
      <c r="BX53" s="13"/>
      <c r="BY53" s="13"/>
      <c r="BZ53" s="13"/>
    </row>
    <row r="54" spans="1:78" s="64" customFormat="1" x14ac:dyDescent="0.35">
      <c r="G54" s="128"/>
      <c r="H54" s="128"/>
      <c r="AE54" s="13"/>
      <c r="AF54" s="13"/>
      <c r="AG54" s="13"/>
      <c r="AH54" s="13"/>
      <c r="AI54" s="13"/>
      <c r="AJ54" s="13"/>
      <c r="AK54" s="13"/>
      <c r="AL54" s="13"/>
      <c r="AM54" s="13"/>
      <c r="AN54" s="13"/>
      <c r="AO54" s="13"/>
      <c r="AP54" s="13"/>
      <c r="AQ54" s="13"/>
      <c r="AR54" s="13"/>
      <c r="AS54" s="13"/>
      <c r="AT54" s="13"/>
      <c r="AU54" s="13"/>
      <c r="AV54" s="13"/>
      <c r="AW54" s="13"/>
      <c r="AX54" s="13"/>
      <c r="AY54" s="13"/>
      <c r="AZ54" s="13"/>
      <c r="BA54" s="13"/>
      <c r="BB54" s="13"/>
      <c r="BC54" s="13"/>
      <c r="BD54" s="13"/>
      <c r="BE54" s="13"/>
      <c r="BF54" s="13"/>
      <c r="BG54" s="13"/>
      <c r="BH54" s="13"/>
      <c r="BI54" s="13"/>
      <c r="BJ54" s="13"/>
      <c r="BK54" s="13"/>
      <c r="BL54" s="13"/>
      <c r="BM54" s="13"/>
      <c r="BN54" s="13"/>
      <c r="BO54" s="13"/>
      <c r="BP54" s="13"/>
      <c r="BQ54" s="13"/>
      <c r="BR54" s="13"/>
      <c r="BS54" s="13"/>
      <c r="BT54" s="13"/>
      <c r="BU54" s="13"/>
      <c r="BV54" s="13"/>
      <c r="BW54" s="13"/>
      <c r="BX54" s="13"/>
      <c r="BY54" s="13"/>
      <c r="BZ54" s="13"/>
    </row>
    <row r="55" spans="1:78" s="64" customFormat="1" x14ac:dyDescent="0.35">
      <c r="G55" s="128"/>
      <c r="H55" s="128"/>
      <c r="AE55" s="13"/>
      <c r="AF55" s="13"/>
      <c r="AG55" s="13"/>
      <c r="AH55" s="13"/>
      <c r="AI55" s="13"/>
      <c r="AJ55" s="13"/>
      <c r="AK55" s="13"/>
      <c r="AL55" s="13"/>
      <c r="AM55" s="13"/>
      <c r="AN55" s="13"/>
      <c r="AO55" s="13"/>
      <c r="AP55" s="13"/>
      <c r="AQ55" s="13"/>
      <c r="AR55" s="13"/>
      <c r="AS55" s="13"/>
      <c r="AT55" s="13"/>
      <c r="AU55" s="13"/>
      <c r="AV55" s="13"/>
      <c r="AW55" s="13"/>
      <c r="AX55" s="13"/>
      <c r="AY55" s="13"/>
      <c r="AZ55" s="13"/>
      <c r="BA55" s="13"/>
      <c r="BB55" s="13"/>
      <c r="BC55" s="13"/>
      <c r="BD55" s="13"/>
      <c r="BE55" s="13"/>
      <c r="BF55" s="13"/>
      <c r="BG55" s="13"/>
      <c r="BH55" s="13"/>
      <c r="BI55" s="13"/>
      <c r="BJ55" s="13"/>
      <c r="BK55" s="13"/>
      <c r="BL55" s="13"/>
      <c r="BM55" s="13"/>
      <c r="BN55" s="13"/>
      <c r="BO55" s="13"/>
      <c r="BP55" s="13"/>
      <c r="BQ55" s="13"/>
      <c r="BR55" s="13"/>
      <c r="BS55" s="13"/>
      <c r="BT55" s="13"/>
      <c r="BU55" s="13"/>
      <c r="BV55" s="13"/>
      <c r="BW55" s="13"/>
      <c r="BX55" s="13"/>
      <c r="BY55" s="13"/>
      <c r="BZ55" s="13"/>
    </row>
    <row r="56" spans="1:78" s="64" customFormat="1" x14ac:dyDescent="0.35">
      <c r="G56" s="128"/>
      <c r="H56" s="128"/>
      <c r="AE56" s="13"/>
      <c r="AF56" s="13"/>
      <c r="AG56" s="13"/>
      <c r="AH56" s="13"/>
      <c r="AI56" s="13"/>
      <c r="AJ56" s="13"/>
      <c r="AK56" s="13"/>
      <c r="AL56" s="13"/>
      <c r="AM56" s="13"/>
      <c r="AN56" s="13"/>
      <c r="AO56" s="13"/>
      <c r="AP56" s="13"/>
      <c r="AQ56" s="13"/>
      <c r="AR56" s="13"/>
      <c r="AS56" s="13"/>
      <c r="AT56" s="13"/>
      <c r="AU56" s="13"/>
      <c r="AV56" s="13"/>
      <c r="AW56" s="13"/>
      <c r="AX56" s="13"/>
      <c r="AY56" s="13"/>
      <c r="AZ56" s="13"/>
      <c r="BA56" s="13"/>
      <c r="BB56" s="13"/>
      <c r="BC56" s="13"/>
      <c r="BD56" s="13"/>
      <c r="BE56" s="13"/>
      <c r="BF56" s="13"/>
      <c r="BG56" s="13"/>
      <c r="BH56" s="13"/>
      <c r="BI56" s="13"/>
      <c r="BJ56" s="13"/>
      <c r="BK56" s="13"/>
      <c r="BL56" s="13"/>
      <c r="BM56" s="13"/>
      <c r="BN56" s="13"/>
      <c r="BO56" s="13"/>
      <c r="BP56" s="13"/>
      <c r="BQ56" s="13"/>
      <c r="BR56" s="13"/>
      <c r="BS56" s="13"/>
      <c r="BT56" s="13"/>
      <c r="BU56" s="13"/>
      <c r="BV56" s="13"/>
      <c r="BW56" s="13"/>
      <c r="BX56" s="13"/>
      <c r="BY56" s="13"/>
      <c r="BZ56" s="13"/>
    </row>
    <row r="57" spans="1:78" s="64" customFormat="1" x14ac:dyDescent="0.35">
      <c r="G57" s="128"/>
      <c r="H57" s="128"/>
      <c r="AE57" s="13"/>
      <c r="AF57" s="13"/>
      <c r="AG57" s="13"/>
      <c r="AH57" s="13"/>
      <c r="AI57" s="13"/>
      <c r="AJ57" s="13"/>
      <c r="AK57" s="13"/>
      <c r="AL57" s="13"/>
      <c r="AM57" s="13"/>
      <c r="AN57" s="13"/>
      <c r="AO57" s="13"/>
      <c r="AP57" s="13"/>
      <c r="AQ57" s="13"/>
      <c r="AR57" s="13"/>
      <c r="AS57" s="13"/>
      <c r="AT57" s="13"/>
      <c r="AU57" s="13"/>
      <c r="AV57" s="13"/>
      <c r="AW57" s="13"/>
      <c r="AX57" s="13"/>
      <c r="AY57" s="13"/>
      <c r="AZ57" s="13"/>
      <c r="BA57" s="13"/>
      <c r="BB57" s="13"/>
      <c r="BC57" s="13"/>
      <c r="BD57" s="13"/>
      <c r="BE57" s="13"/>
      <c r="BF57" s="13"/>
      <c r="BG57" s="13"/>
      <c r="BH57" s="13"/>
      <c r="BI57" s="13"/>
      <c r="BJ57" s="13"/>
      <c r="BK57" s="13"/>
      <c r="BL57" s="13"/>
      <c r="BM57" s="13"/>
      <c r="BN57" s="13"/>
      <c r="BO57" s="13"/>
      <c r="BP57" s="13"/>
      <c r="BQ57" s="13"/>
      <c r="BR57" s="13"/>
      <c r="BS57" s="13"/>
      <c r="BT57" s="13"/>
      <c r="BU57" s="13"/>
      <c r="BV57" s="13"/>
      <c r="BW57" s="13"/>
      <c r="BX57" s="13"/>
      <c r="BY57" s="13"/>
      <c r="BZ57" s="13"/>
    </row>
    <row r="58" spans="1:78" s="64" customFormat="1" x14ac:dyDescent="0.35">
      <c r="G58" s="128"/>
      <c r="H58" s="128"/>
      <c r="AE58" s="13"/>
      <c r="AF58" s="13"/>
      <c r="AG58" s="13"/>
      <c r="AH58" s="13"/>
      <c r="AI58" s="13"/>
      <c r="AJ58" s="13"/>
      <c r="AK58" s="13"/>
      <c r="AL58" s="13"/>
      <c r="AM58" s="13"/>
      <c r="AN58" s="13"/>
      <c r="AO58" s="13"/>
      <c r="AP58" s="13"/>
      <c r="AQ58" s="13"/>
      <c r="AR58" s="13"/>
      <c r="AS58" s="13"/>
      <c r="AT58" s="13"/>
      <c r="AU58" s="13"/>
      <c r="AV58" s="13"/>
      <c r="AW58" s="13"/>
      <c r="AX58" s="13"/>
      <c r="AY58" s="13"/>
      <c r="AZ58" s="13"/>
      <c r="BA58" s="13"/>
      <c r="BB58" s="13"/>
      <c r="BC58" s="13"/>
      <c r="BD58" s="13"/>
      <c r="BE58" s="13"/>
      <c r="BF58" s="13"/>
      <c r="BG58" s="13"/>
      <c r="BH58" s="13"/>
      <c r="BI58" s="13"/>
      <c r="BJ58" s="13"/>
      <c r="BK58" s="13"/>
      <c r="BL58" s="13"/>
      <c r="BM58" s="13"/>
      <c r="BN58" s="13"/>
      <c r="BO58" s="13"/>
      <c r="BP58" s="13"/>
      <c r="BQ58" s="13"/>
      <c r="BR58" s="13"/>
      <c r="BS58" s="13"/>
      <c r="BT58" s="13"/>
      <c r="BU58" s="13"/>
      <c r="BV58" s="13"/>
      <c r="BW58" s="13"/>
      <c r="BX58" s="13"/>
      <c r="BY58" s="13"/>
      <c r="BZ58" s="13"/>
    </row>
    <row r="59" spans="1:78" s="64" customFormat="1" x14ac:dyDescent="0.35">
      <c r="G59" s="128"/>
      <c r="H59" s="128"/>
      <c r="AE59" s="13"/>
      <c r="AF59" s="13"/>
      <c r="AG59" s="13"/>
      <c r="AH59" s="13"/>
      <c r="AI59" s="13"/>
      <c r="AJ59" s="13"/>
      <c r="AK59" s="13"/>
      <c r="AL59" s="13"/>
      <c r="AM59" s="13"/>
      <c r="AN59" s="13"/>
      <c r="AO59" s="13"/>
      <c r="AP59" s="13"/>
      <c r="AQ59" s="13"/>
      <c r="AR59" s="13"/>
      <c r="AS59" s="13"/>
      <c r="AT59" s="13"/>
      <c r="AU59" s="13"/>
      <c r="AV59" s="13"/>
      <c r="AW59" s="13"/>
      <c r="AX59" s="13"/>
      <c r="AY59" s="13"/>
      <c r="AZ59" s="13"/>
      <c r="BA59" s="13"/>
      <c r="BB59" s="13"/>
      <c r="BC59" s="13"/>
      <c r="BD59" s="13"/>
      <c r="BE59" s="13"/>
      <c r="BF59" s="13"/>
      <c r="BG59" s="13"/>
      <c r="BH59" s="13"/>
      <c r="BI59" s="13"/>
      <c r="BJ59" s="13"/>
      <c r="BK59" s="13"/>
      <c r="BL59" s="13"/>
      <c r="BM59" s="13"/>
      <c r="BN59" s="13"/>
      <c r="BO59" s="13"/>
      <c r="BP59" s="13"/>
      <c r="BQ59" s="13"/>
      <c r="BR59" s="13"/>
      <c r="BS59" s="13"/>
      <c r="BT59" s="13"/>
      <c r="BU59" s="13"/>
      <c r="BV59" s="13"/>
      <c r="BW59" s="13"/>
      <c r="BX59" s="13"/>
      <c r="BY59" s="13"/>
      <c r="BZ59" s="13"/>
    </row>
    <row r="60" spans="1:78" s="64" customFormat="1" x14ac:dyDescent="0.35">
      <c r="G60" s="128"/>
      <c r="H60" s="128"/>
      <c r="AE60" s="13"/>
      <c r="AF60" s="13"/>
      <c r="AG60" s="13"/>
      <c r="AH60" s="13"/>
      <c r="AI60" s="13"/>
      <c r="AJ60" s="13"/>
      <c r="AK60" s="13"/>
      <c r="AL60" s="13"/>
      <c r="AM60" s="13"/>
      <c r="AN60" s="13"/>
      <c r="AO60" s="13"/>
      <c r="AP60" s="13"/>
      <c r="AQ60" s="13"/>
      <c r="AR60" s="13"/>
      <c r="AS60" s="13"/>
      <c r="AT60" s="13"/>
      <c r="AU60" s="13"/>
      <c r="AV60" s="13"/>
      <c r="AW60" s="13"/>
      <c r="AX60" s="13"/>
      <c r="AY60" s="13"/>
      <c r="AZ60" s="13"/>
      <c r="BA60" s="13"/>
      <c r="BB60" s="13"/>
      <c r="BC60" s="13"/>
      <c r="BD60" s="13"/>
      <c r="BE60" s="13"/>
      <c r="BF60" s="13"/>
      <c r="BG60" s="13"/>
      <c r="BH60" s="13"/>
      <c r="BI60" s="13"/>
      <c r="BJ60" s="13"/>
      <c r="BK60" s="13"/>
      <c r="BL60" s="13"/>
      <c r="BM60" s="13"/>
      <c r="BN60" s="13"/>
      <c r="BO60" s="13"/>
      <c r="BP60" s="13"/>
      <c r="BQ60" s="13"/>
      <c r="BR60" s="13"/>
      <c r="BS60" s="13"/>
      <c r="BT60" s="13"/>
      <c r="BU60" s="13"/>
      <c r="BV60" s="13"/>
      <c r="BW60" s="13"/>
      <c r="BX60" s="13"/>
      <c r="BY60" s="13"/>
      <c r="BZ60" s="13"/>
    </row>
    <row r="61" spans="1:78" s="64" customFormat="1" x14ac:dyDescent="0.35">
      <c r="G61" s="128"/>
      <c r="H61" s="128"/>
      <c r="AE61" s="13"/>
      <c r="AF61" s="13"/>
      <c r="AG61" s="13"/>
      <c r="AH61" s="13"/>
      <c r="AI61" s="13"/>
      <c r="AJ61" s="13"/>
      <c r="AK61" s="13"/>
      <c r="AL61" s="13"/>
      <c r="AM61" s="13"/>
      <c r="AN61" s="13"/>
      <c r="AO61" s="13"/>
      <c r="AP61" s="13"/>
      <c r="AQ61" s="13"/>
      <c r="AR61" s="13"/>
      <c r="AS61" s="13"/>
      <c r="AT61" s="13"/>
      <c r="AU61" s="13"/>
      <c r="AV61" s="13"/>
      <c r="AW61" s="13"/>
      <c r="AX61" s="13"/>
      <c r="AY61" s="13"/>
      <c r="AZ61" s="13"/>
      <c r="BA61" s="13"/>
      <c r="BB61" s="13"/>
      <c r="BC61" s="13"/>
      <c r="BD61" s="13"/>
      <c r="BE61" s="13"/>
      <c r="BF61" s="13"/>
      <c r="BG61" s="13"/>
      <c r="BH61" s="13"/>
      <c r="BI61" s="13"/>
      <c r="BJ61" s="13"/>
      <c r="BK61" s="13"/>
      <c r="BL61" s="13"/>
      <c r="BM61" s="13"/>
      <c r="BN61" s="13"/>
      <c r="BO61" s="13"/>
      <c r="BP61" s="13"/>
      <c r="BQ61" s="13"/>
      <c r="BR61" s="13"/>
      <c r="BS61" s="13"/>
      <c r="BT61" s="13"/>
      <c r="BU61" s="13"/>
      <c r="BV61" s="13"/>
      <c r="BW61" s="13"/>
      <c r="BX61" s="13"/>
      <c r="BY61" s="13"/>
      <c r="BZ61" s="13"/>
    </row>
    <row r="62" spans="1:78" s="64" customFormat="1" x14ac:dyDescent="0.35">
      <c r="G62" s="128"/>
      <c r="H62" s="128"/>
      <c r="AE62" s="13"/>
      <c r="AF62" s="13"/>
      <c r="AG62" s="13"/>
      <c r="AH62" s="13"/>
      <c r="AI62" s="13"/>
      <c r="AJ62" s="13"/>
      <c r="AK62" s="13"/>
      <c r="AL62" s="13"/>
      <c r="AM62" s="13"/>
      <c r="AN62" s="13"/>
      <c r="AO62" s="13"/>
      <c r="AP62" s="13"/>
      <c r="AQ62" s="13"/>
      <c r="AR62" s="13"/>
      <c r="AS62" s="13"/>
      <c r="AT62" s="13"/>
      <c r="AU62" s="13"/>
      <c r="AV62" s="13"/>
      <c r="AW62" s="13"/>
      <c r="AX62" s="13"/>
      <c r="AY62" s="13"/>
      <c r="AZ62" s="13"/>
      <c r="BA62" s="13"/>
      <c r="BB62" s="13"/>
      <c r="BC62" s="13"/>
      <c r="BD62" s="13"/>
      <c r="BE62" s="13"/>
      <c r="BF62" s="13"/>
      <c r="BG62" s="13"/>
      <c r="BH62" s="13"/>
      <c r="BI62" s="13"/>
      <c r="BJ62" s="13"/>
      <c r="BK62" s="13"/>
      <c r="BL62" s="13"/>
      <c r="BM62" s="13"/>
      <c r="BN62" s="13"/>
      <c r="BO62" s="13"/>
      <c r="BP62" s="13"/>
      <c r="BQ62" s="13"/>
      <c r="BR62" s="13"/>
      <c r="BS62" s="13"/>
      <c r="BT62" s="13"/>
      <c r="BU62" s="13"/>
      <c r="BV62" s="13"/>
      <c r="BW62" s="13"/>
      <c r="BX62" s="13"/>
      <c r="BY62" s="13"/>
      <c r="BZ62" s="13"/>
    </row>
    <row r="63" spans="1:78" s="64" customFormat="1" x14ac:dyDescent="0.35">
      <c r="G63" s="128"/>
      <c r="H63" s="128"/>
      <c r="AE63" s="13"/>
      <c r="AF63" s="13"/>
      <c r="AG63" s="13"/>
      <c r="AH63" s="13"/>
      <c r="AI63" s="13"/>
      <c r="AJ63" s="13"/>
      <c r="AK63" s="13"/>
      <c r="AL63" s="13"/>
      <c r="AM63" s="13"/>
      <c r="AN63" s="13"/>
      <c r="AO63" s="13"/>
      <c r="AP63" s="13"/>
      <c r="AQ63" s="13"/>
      <c r="AR63" s="13"/>
      <c r="AS63" s="13"/>
      <c r="AT63" s="13"/>
      <c r="AU63" s="13"/>
      <c r="AV63" s="13"/>
      <c r="AW63" s="13"/>
      <c r="AX63" s="13"/>
      <c r="AY63" s="13"/>
      <c r="AZ63" s="13"/>
      <c r="BA63" s="13"/>
      <c r="BB63" s="13"/>
      <c r="BC63" s="13"/>
      <c r="BD63" s="13"/>
      <c r="BE63" s="13"/>
      <c r="BF63" s="13"/>
      <c r="BG63" s="13"/>
      <c r="BH63" s="13"/>
      <c r="BI63" s="13"/>
      <c r="BJ63" s="13"/>
      <c r="BK63" s="13"/>
      <c r="BL63" s="13"/>
      <c r="BM63" s="13"/>
      <c r="BN63" s="13"/>
      <c r="BO63" s="13"/>
      <c r="BP63" s="13"/>
      <c r="BQ63" s="13"/>
      <c r="BR63" s="13"/>
      <c r="BS63" s="13"/>
      <c r="BT63" s="13"/>
      <c r="BU63" s="13"/>
      <c r="BV63" s="13"/>
      <c r="BW63" s="13"/>
      <c r="BX63" s="13"/>
      <c r="BY63" s="13"/>
      <c r="BZ63" s="13"/>
    </row>
    <row r="64" spans="1:78" s="64" customFormat="1" x14ac:dyDescent="0.35">
      <c r="G64" s="128"/>
      <c r="H64" s="128"/>
      <c r="AE64" s="13"/>
      <c r="AF64" s="13"/>
      <c r="AG64" s="13"/>
      <c r="AH64" s="13"/>
      <c r="AI64" s="13"/>
      <c r="AJ64" s="13"/>
      <c r="AK64" s="13"/>
      <c r="AL64" s="13"/>
      <c r="AM64" s="13"/>
      <c r="AN64" s="13"/>
      <c r="AO64" s="13"/>
      <c r="AP64" s="13"/>
      <c r="AQ64" s="13"/>
      <c r="AR64" s="13"/>
      <c r="AS64" s="13"/>
      <c r="AT64" s="13"/>
      <c r="AU64" s="13"/>
      <c r="AV64" s="13"/>
      <c r="AW64" s="13"/>
      <c r="AX64" s="13"/>
      <c r="AY64" s="13"/>
      <c r="AZ64" s="13"/>
      <c r="BA64" s="13"/>
      <c r="BB64" s="13"/>
      <c r="BC64" s="13"/>
      <c r="BD64" s="13"/>
      <c r="BE64" s="13"/>
      <c r="BF64" s="13"/>
      <c r="BG64" s="13"/>
      <c r="BH64" s="13"/>
      <c r="BI64" s="13"/>
      <c r="BJ64" s="13"/>
      <c r="BK64" s="13"/>
      <c r="BL64" s="13"/>
      <c r="BM64" s="13"/>
      <c r="BN64" s="13"/>
      <c r="BO64" s="13"/>
      <c r="BP64" s="13"/>
      <c r="BQ64" s="13"/>
      <c r="BR64" s="13"/>
      <c r="BS64" s="13"/>
      <c r="BT64" s="13"/>
      <c r="BU64" s="13"/>
      <c r="BV64" s="13"/>
      <c r="BW64" s="13"/>
      <c r="BX64" s="13"/>
      <c r="BY64" s="13"/>
      <c r="BZ64" s="13"/>
    </row>
    <row r="65" spans="7:78" s="64" customFormat="1" x14ac:dyDescent="0.35">
      <c r="G65" s="128"/>
      <c r="H65" s="128"/>
      <c r="AE65" s="13"/>
      <c r="AF65" s="13"/>
      <c r="AG65" s="13"/>
      <c r="AH65" s="13"/>
      <c r="AI65" s="13"/>
      <c r="AJ65" s="13"/>
      <c r="AK65" s="13"/>
      <c r="AL65" s="13"/>
      <c r="AM65" s="13"/>
      <c r="AN65" s="13"/>
      <c r="AO65" s="13"/>
      <c r="AP65" s="13"/>
      <c r="AQ65" s="13"/>
      <c r="AR65" s="13"/>
      <c r="AS65" s="13"/>
      <c r="AT65" s="13"/>
      <c r="AU65" s="13"/>
      <c r="AV65" s="13"/>
      <c r="AW65" s="13"/>
      <c r="AX65" s="13"/>
      <c r="AY65" s="13"/>
      <c r="AZ65" s="13"/>
      <c r="BA65" s="13"/>
      <c r="BB65" s="13"/>
      <c r="BC65" s="13"/>
      <c r="BD65" s="13"/>
      <c r="BE65" s="13"/>
      <c r="BF65" s="13"/>
      <c r="BG65" s="13"/>
      <c r="BH65" s="13"/>
      <c r="BI65" s="13"/>
      <c r="BJ65" s="13"/>
      <c r="BK65" s="13"/>
      <c r="BL65" s="13"/>
      <c r="BM65" s="13"/>
      <c r="BN65" s="13"/>
      <c r="BO65" s="13"/>
      <c r="BP65" s="13"/>
      <c r="BQ65" s="13"/>
      <c r="BR65" s="13"/>
      <c r="BS65" s="13"/>
      <c r="BT65" s="13"/>
      <c r="BU65" s="13"/>
      <c r="BV65" s="13"/>
      <c r="BW65" s="13"/>
      <c r="BX65" s="13"/>
      <c r="BY65" s="13"/>
      <c r="BZ65" s="13"/>
    </row>
    <row r="66" spans="7:78" s="64" customFormat="1" x14ac:dyDescent="0.35">
      <c r="G66" s="128"/>
      <c r="H66" s="128"/>
      <c r="AE66" s="13"/>
      <c r="AF66" s="13"/>
      <c r="AG66" s="13"/>
      <c r="AH66" s="13"/>
      <c r="AI66" s="13"/>
      <c r="AJ66" s="13"/>
      <c r="AK66" s="13"/>
      <c r="AL66" s="13"/>
      <c r="AM66" s="13"/>
      <c r="AN66" s="13"/>
      <c r="AO66" s="13"/>
      <c r="AP66" s="13"/>
      <c r="AQ66" s="13"/>
      <c r="AR66" s="13"/>
      <c r="AS66" s="13"/>
      <c r="AT66" s="13"/>
      <c r="AU66" s="13"/>
      <c r="AV66" s="13"/>
      <c r="AW66" s="13"/>
      <c r="AX66" s="13"/>
      <c r="AY66" s="13"/>
      <c r="AZ66" s="13"/>
      <c r="BA66" s="13"/>
      <c r="BB66" s="13"/>
      <c r="BC66" s="13"/>
      <c r="BD66" s="13"/>
      <c r="BE66" s="13"/>
      <c r="BF66" s="13"/>
      <c r="BG66" s="13"/>
      <c r="BH66" s="13"/>
      <c r="BI66" s="13"/>
      <c r="BJ66" s="13"/>
      <c r="BK66" s="13"/>
      <c r="BL66" s="13"/>
      <c r="BM66" s="13"/>
      <c r="BN66" s="13"/>
      <c r="BO66" s="13"/>
      <c r="BP66" s="13"/>
      <c r="BQ66" s="13"/>
      <c r="BR66" s="13"/>
      <c r="BS66" s="13"/>
      <c r="BT66" s="13"/>
      <c r="BU66" s="13"/>
      <c r="BV66" s="13"/>
      <c r="BW66" s="13"/>
      <c r="BX66" s="13"/>
      <c r="BY66" s="13"/>
      <c r="BZ66" s="13"/>
    </row>
    <row r="67" spans="7:78" s="64" customFormat="1" x14ac:dyDescent="0.35">
      <c r="G67" s="128"/>
      <c r="H67" s="128"/>
      <c r="AE67" s="13"/>
      <c r="AF67" s="13"/>
      <c r="AG67" s="13"/>
      <c r="AH67" s="13"/>
      <c r="AI67" s="13"/>
      <c r="AJ67" s="13"/>
      <c r="AK67" s="13"/>
      <c r="AL67" s="13"/>
      <c r="AM67" s="13"/>
      <c r="AN67" s="13"/>
      <c r="AO67" s="13"/>
      <c r="AP67" s="13"/>
      <c r="AQ67" s="13"/>
      <c r="AR67" s="13"/>
      <c r="AS67" s="13"/>
      <c r="AT67" s="13"/>
      <c r="AU67" s="13"/>
      <c r="AV67" s="13"/>
      <c r="AW67" s="13"/>
      <c r="AX67" s="13"/>
      <c r="AY67" s="13"/>
      <c r="AZ67" s="13"/>
      <c r="BA67" s="13"/>
      <c r="BB67" s="13"/>
      <c r="BC67" s="13"/>
      <c r="BD67" s="13"/>
      <c r="BE67" s="13"/>
      <c r="BF67" s="13"/>
      <c r="BG67" s="13"/>
      <c r="BH67" s="13"/>
      <c r="BI67" s="13"/>
      <c r="BJ67" s="13"/>
      <c r="BK67" s="13"/>
      <c r="BL67" s="13"/>
      <c r="BM67" s="13"/>
      <c r="BN67" s="13"/>
      <c r="BO67" s="13"/>
      <c r="BP67" s="13"/>
      <c r="BQ67" s="13"/>
      <c r="BR67" s="13"/>
      <c r="BS67" s="13"/>
      <c r="BT67" s="13"/>
      <c r="BU67" s="13"/>
      <c r="BV67" s="13"/>
      <c r="BW67" s="13"/>
      <c r="BX67" s="13"/>
      <c r="BY67" s="13"/>
      <c r="BZ67" s="13"/>
    </row>
    <row r="68" spans="7:78" s="64" customFormat="1" x14ac:dyDescent="0.35">
      <c r="G68" s="128"/>
      <c r="H68" s="128"/>
      <c r="AE68" s="13"/>
      <c r="AF68" s="13"/>
      <c r="AG68" s="13"/>
      <c r="AH68" s="13"/>
      <c r="AI68" s="13"/>
      <c r="AJ68" s="13"/>
      <c r="AK68" s="13"/>
      <c r="AL68" s="13"/>
      <c r="AM68" s="13"/>
      <c r="AN68" s="13"/>
      <c r="AO68" s="13"/>
      <c r="AP68" s="13"/>
      <c r="AQ68" s="13"/>
      <c r="AR68" s="13"/>
      <c r="AS68" s="13"/>
      <c r="AT68" s="13"/>
      <c r="AU68" s="13"/>
      <c r="AV68" s="13"/>
      <c r="AW68" s="13"/>
      <c r="AX68" s="13"/>
      <c r="AY68" s="13"/>
      <c r="AZ68" s="13"/>
      <c r="BA68" s="13"/>
      <c r="BB68" s="13"/>
      <c r="BC68" s="13"/>
      <c r="BD68" s="13"/>
      <c r="BE68" s="13"/>
      <c r="BF68" s="13"/>
      <c r="BG68" s="13"/>
      <c r="BH68" s="13"/>
      <c r="BI68" s="13"/>
      <c r="BJ68" s="13"/>
      <c r="BK68" s="13"/>
      <c r="BL68" s="13"/>
      <c r="BM68" s="13"/>
      <c r="BN68" s="13"/>
      <c r="BO68" s="13"/>
      <c r="BP68" s="13"/>
      <c r="BQ68" s="13"/>
      <c r="BR68" s="13"/>
      <c r="BS68" s="13"/>
      <c r="BT68" s="13"/>
      <c r="BU68" s="13"/>
      <c r="BV68" s="13"/>
      <c r="BW68" s="13"/>
      <c r="BX68" s="13"/>
      <c r="BY68" s="13"/>
      <c r="BZ68" s="13"/>
    </row>
    <row r="69" spans="7:78" s="64" customFormat="1" x14ac:dyDescent="0.35">
      <c r="G69" s="128"/>
      <c r="H69" s="128"/>
      <c r="AE69" s="13"/>
      <c r="AF69" s="13"/>
      <c r="AG69" s="13"/>
      <c r="AH69" s="13"/>
      <c r="AI69" s="13"/>
      <c r="AJ69" s="13"/>
      <c r="AK69" s="13"/>
      <c r="AL69" s="13"/>
      <c r="AM69" s="13"/>
      <c r="AN69" s="13"/>
      <c r="AO69" s="13"/>
      <c r="AP69" s="13"/>
      <c r="AQ69" s="13"/>
      <c r="AR69" s="13"/>
      <c r="AS69" s="13"/>
      <c r="AT69" s="13"/>
      <c r="AU69" s="13"/>
      <c r="AV69" s="13"/>
      <c r="AW69" s="13"/>
      <c r="AX69" s="13"/>
      <c r="AY69" s="13"/>
      <c r="AZ69" s="13"/>
      <c r="BA69" s="13"/>
      <c r="BB69" s="13"/>
      <c r="BC69" s="13"/>
      <c r="BD69" s="13"/>
      <c r="BE69" s="13"/>
      <c r="BF69" s="13"/>
      <c r="BG69" s="13"/>
      <c r="BH69" s="13"/>
      <c r="BI69" s="13"/>
      <c r="BJ69" s="13"/>
      <c r="BK69" s="13"/>
      <c r="BL69" s="13"/>
      <c r="BM69" s="13"/>
      <c r="BN69" s="13"/>
      <c r="BO69" s="13"/>
      <c r="BP69" s="13"/>
      <c r="BQ69" s="13"/>
      <c r="BR69" s="13"/>
      <c r="BS69" s="13"/>
      <c r="BT69" s="13"/>
      <c r="BU69" s="13"/>
      <c r="BV69" s="13"/>
      <c r="BW69" s="13"/>
      <c r="BX69" s="13"/>
      <c r="BY69" s="13"/>
      <c r="BZ69" s="13"/>
    </row>
    <row r="70" spans="7:78" s="64" customFormat="1" x14ac:dyDescent="0.35">
      <c r="G70" s="128"/>
      <c r="H70" s="128"/>
      <c r="AE70" s="13"/>
      <c r="AF70" s="13"/>
      <c r="AG70" s="13"/>
      <c r="AH70" s="13"/>
      <c r="AI70" s="13"/>
      <c r="AJ70" s="13"/>
      <c r="AK70" s="13"/>
      <c r="AL70" s="13"/>
      <c r="AM70" s="13"/>
      <c r="AN70" s="13"/>
      <c r="AO70" s="13"/>
      <c r="AP70" s="13"/>
      <c r="AQ70" s="13"/>
      <c r="AR70" s="13"/>
      <c r="AS70" s="13"/>
      <c r="AT70" s="13"/>
      <c r="AU70" s="13"/>
      <c r="AV70" s="13"/>
      <c r="AW70" s="13"/>
      <c r="AX70" s="13"/>
      <c r="AY70" s="13"/>
      <c r="AZ70" s="13"/>
      <c r="BA70" s="13"/>
      <c r="BB70" s="13"/>
      <c r="BC70" s="13"/>
      <c r="BD70" s="13"/>
      <c r="BE70" s="13"/>
      <c r="BF70" s="13"/>
      <c r="BG70" s="13"/>
      <c r="BH70" s="13"/>
      <c r="BI70" s="13"/>
      <c r="BJ70" s="13"/>
      <c r="BK70" s="13"/>
      <c r="BL70" s="13"/>
      <c r="BM70" s="13"/>
      <c r="BN70" s="13"/>
      <c r="BO70" s="13"/>
      <c r="BP70" s="13"/>
      <c r="BQ70" s="13"/>
      <c r="BR70" s="13"/>
      <c r="BS70" s="13"/>
      <c r="BT70" s="13"/>
      <c r="BU70" s="13"/>
      <c r="BV70" s="13"/>
      <c r="BW70" s="13"/>
      <c r="BX70" s="13"/>
      <c r="BY70" s="13"/>
      <c r="BZ70" s="13"/>
    </row>
    <row r="71" spans="7:78" s="64" customFormat="1" x14ac:dyDescent="0.35">
      <c r="G71" s="128"/>
      <c r="H71" s="128"/>
      <c r="AE71" s="13"/>
      <c r="AF71" s="13"/>
      <c r="AG71" s="13"/>
      <c r="AH71" s="13"/>
      <c r="AI71" s="13"/>
      <c r="AJ71" s="13"/>
      <c r="AK71" s="13"/>
      <c r="AL71" s="13"/>
      <c r="AM71" s="13"/>
      <c r="AN71" s="13"/>
      <c r="AO71" s="13"/>
      <c r="AP71" s="13"/>
      <c r="AQ71" s="13"/>
      <c r="AR71" s="13"/>
      <c r="AS71" s="13"/>
      <c r="AT71" s="13"/>
      <c r="AU71" s="13"/>
      <c r="AV71" s="13"/>
      <c r="AW71" s="13"/>
      <c r="AX71" s="13"/>
      <c r="AY71" s="13"/>
      <c r="AZ71" s="13"/>
      <c r="BA71" s="13"/>
      <c r="BB71" s="13"/>
      <c r="BC71" s="13"/>
      <c r="BD71" s="13"/>
      <c r="BE71" s="13"/>
      <c r="BF71" s="13"/>
      <c r="BG71" s="13"/>
      <c r="BH71" s="13"/>
      <c r="BI71" s="13"/>
      <c r="BJ71" s="13"/>
      <c r="BK71" s="13"/>
      <c r="BL71" s="13"/>
      <c r="BM71" s="13"/>
      <c r="BN71" s="13"/>
      <c r="BO71" s="13"/>
      <c r="BP71" s="13"/>
      <c r="BQ71" s="13"/>
      <c r="BR71" s="13"/>
      <c r="BS71" s="13"/>
      <c r="BT71" s="13"/>
      <c r="BU71" s="13"/>
      <c r="BV71" s="13"/>
      <c r="BW71" s="13"/>
      <c r="BX71" s="13"/>
      <c r="BY71" s="13"/>
      <c r="BZ71" s="13"/>
    </row>
    <row r="72" spans="7:78" s="64" customFormat="1" x14ac:dyDescent="0.35">
      <c r="G72" s="128"/>
      <c r="H72" s="128"/>
      <c r="AE72" s="13"/>
      <c r="AF72" s="13"/>
      <c r="AG72" s="13"/>
      <c r="AH72" s="13"/>
      <c r="AI72" s="13"/>
      <c r="AJ72" s="13"/>
      <c r="AK72" s="13"/>
      <c r="AL72" s="13"/>
      <c r="AM72" s="13"/>
      <c r="AN72" s="13"/>
      <c r="AO72" s="13"/>
      <c r="AP72" s="13"/>
      <c r="AQ72" s="13"/>
      <c r="AR72" s="13"/>
      <c r="AS72" s="13"/>
      <c r="AT72" s="13"/>
      <c r="AU72" s="13"/>
      <c r="AV72" s="13"/>
      <c r="AW72" s="13"/>
      <c r="AX72" s="13"/>
      <c r="AY72" s="13"/>
      <c r="AZ72" s="13"/>
      <c r="BA72" s="13"/>
      <c r="BB72" s="13"/>
      <c r="BC72" s="13"/>
      <c r="BD72" s="13"/>
      <c r="BE72" s="13"/>
      <c r="BF72" s="13"/>
      <c r="BG72" s="13"/>
      <c r="BH72" s="13"/>
      <c r="BI72" s="13"/>
      <c r="BJ72" s="13"/>
      <c r="BK72" s="13"/>
      <c r="BL72" s="13"/>
      <c r="BM72" s="13"/>
      <c r="BN72" s="13"/>
      <c r="BO72" s="13"/>
      <c r="BP72" s="13"/>
      <c r="BQ72" s="13"/>
      <c r="BR72" s="13"/>
      <c r="BS72" s="13"/>
      <c r="BT72" s="13"/>
      <c r="BU72" s="13"/>
      <c r="BV72" s="13"/>
      <c r="BW72" s="13"/>
      <c r="BX72" s="13"/>
      <c r="BY72" s="13"/>
      <c r="BZ72" s="13"/>
    </row>
    <row r="73" spans="7:78" s="64" customFormat="1" x14ac:dyDescent="0.35">
      <c r="G73" s="128"/>
      <c r="H73" s="128"/>
      <c r="AE73" s="13"/>
      <c r="AF73" s="13"/>
      <c r="AG73" s="13"/>
      <c r="AH73" s="13"/>
      <c r="AI73" s="13"/>
      <c r="AJ73" s="13"/>
      <c r="AK73" s="13"/>
      <c r="AL73" s="13"/>
      <c r="AM73" s="13"/>
      <c r="AN73" s="13"/>
      <c r="AO73" s="13"/>
      <c r="AP73" s="13"/>
      <c r="AQ73" s="13"/>
      <c r="AR73" s="13"/>
      <c r="AS73" s="13"/>
      <c r="AT73" s="13"/>
      <c r="AU73" s="13"/>
      <c r="AV73" s="13"/>
      <c r="AW73" s="13"/>
      <c r="AX73" s="13"/>
      <c r="AY73" s="13"/>
      <c r="AZ73" s="13"/>
      <c r="BA73" s="13"/>
      <c r="BB73" s="13"/>
      <c r="BC73" s="13"/>
      <c r="BD73" s="13"/>
      <c r="BE73" s="13"/>
      <c r="BF73" s="13"/>
      <c r="BG73" s="13"/>
      <c r="BH73" s="13"/>
      <c r="BI73" s="13"/>
      <c r="BJ73" s="13"/>
      <c r="BK73" s="13"/>
      <c r="BL73" s="13"/>
      <c r="BM73" s="13"/>
      <c r="BN73" s="13"/>
      <c r="BO73" s="13"/>
      <c r="BP73" s="13"/>
      <c r="BQ73" s="13"/>
      <c r="BR73" s="13"/>
      <c r="BS73" s="13"/>
      <c r="BT73" s="13"/>
      <c r="BU73" s="13"/>
      <c r="BV73" s="13"/>
      <c r="BW73" s="13"/>
      <c r="BX73" s="13"/>
      <c r="BY73" s="13"/>
      <c r="BZ73" s="13"/>
    </row>
    <row r="74" spans="7:78" s="64" customFormat="1" x14ac:dyDescent="0.35">
      <c r="G74" s="128"/>
      <c r="H74" s="128"/>
      <c r="AE74" s="13"/>
      <c r="AF74" s="13"/>
      <c r="AG74" s="13"/>
      <c r="AH74" s="13"/>
      <c r="AI74" s="13"/>
      <c r="AJ74" s="13"/>
      <c r="AK74" s="13"/>
      <c r="AL74" s="13"/>
      <c r="AM74" s="13"/>
      <c r="AN74" s="13"/>
      <c r="AO74" s="13"/>
      <c r="AP74" s="13"/>
      <c r="AQ74" s="13"/>
      <c r="AR74" s="13"/>
      <c r="AS74" s="13"/>
      <c r="AT74" s="13"/>
      <c r="AU74" s="13"/>
      <c r="AV74" s="13"/>
      <c r="AW74" s="13"/>
      <c r="AX74" s="13"/>
      <c r="AY74" s="13"/>
      <c r="AZ74" s="13"/>
      <c r="BA74" s="13"/>
      <c r="BB74" s="13"/>
      <c r="BC74" s="13"/>
      <c r="BD74" s="13"/>
      <c r="BE74" s="13"/>
      <c r="BF74" s="13"/>
      <c r="BG74" s="13"/>
      <c r="BH74" s="13"/>
      <c r="BI74" s="13"/>
      <c r="BJ74" s="13"/>
      <c r="BK74" s="13"/>
      <c r="BL74" s="13"/>
      <c r="BM74" s="13"/>
      <c r="BN74" s="13"/>
      <c r="BO74" s="13"/>
      <c r="BP74" s="13"/>
      <c r="BQ74" s="13"/>
      <c r="BR74" s="13"/>
      <c r="BS74" s="13"/>
      <c r="BT74" s="13"/>
      <c r="BU74" s="13"/>
      <c r="BV74" s="13"/>
      <c r="BW74" s="13"/>
      <c r="BX74" s="13"/>
      <c r="BY74" s="13"/>
      <c r="BZ74" s="13"/>
    </row>
    <row r="75" spans="7:78" s="64" customFormat="1" x14ac:dyDescent="0.35">
      <c r="G75" s="128"/>
      <c r="H75" s="128"/>
      <c r="AE75" s="13"/>
      <c r="AF75" s="13"/>
      <c r="AG75" s="13"/>
      <c r="AH75" s="13"/>
      <c r="AI75" s="13"/>
      <c r="AJ75" s="13"/>
      <c r="AK75" s="13"/>
      <c r="AL75" s="13"/>
      <c r="AM75" s="13"/>
      <c r="AN75" s="13"/>
      <c r="AO75" s="13"/>
      <c r="AP75" s="13"/>
      <c r="AQ75" s="13"/>
      <c r="AR75" s="13"/>
      <c r="AS75" s="13"/>
      <c r="AT75" s="13"/>
      <c r="AU75" s="13"/>
      <c r="AV75" s="13"/>
      <c r="AW75" s="13"/>
      <c r="AX75" s="13"/>
      <c r="AY75" s="13"/>
      <c r="AZ75" s="13"/>
      <c r="BA75" s="13"/>
      <c r="BB75" s="13"/>
      <c r="BC75" s="13"/>
      <c r="BD75" s="13"/>
      <c r="BE75" s="13"/>
      <c r="BF75" s="13"/>
      <c r="BG75" s="13"/>
      <c r="BH75" s="13"/>
      <c r="BI75" s="13"/>
      <c r="BJ75" s="13"/>
      <c r="BK75" s="13"/>
      <c r="BL75" s="13"/>
      <c r="BM75" s="13"/>
      <c r="BN75" s="13"/>
      <c r="BO75" s="13"/>
      <c r="BP75" s="13"/>
      <c r="BQ75" s="13"/>
      <c r="BR75" s="13"/>
      <c r="BS75" s="13"/>
      <c r="BT75" s="13"/>
      <c r="BU75" s="13"/>
      <c r="BV75" s="13"/>
      <c r="BW75" s="13"/>
      <c r="BX75" s="13"/>
      <c r="BY75" s="13"/>
      <c r="BZ75" s="13"/>
    </row>
    <row r="76" spans="7:78" s="64" customFormat="1" x14ac:dyDescent="0.35">
      <c r="G76" s="128"/>
      <c r="H76" s="128"/>
      <c r="AE76" s="13"/>
      <c r="AF76" s="13"/>
      <c r="AG76" s="13"/>
      <c r="AH76" s="13"/>
      <c r="AI76" s="13"/>
      <c r="AJ76" s="13"/>
      <c r="AK76" s="13"/>
      <c r="AL76" s="13"/>
      <c r="AM76" s="13"/>
      <c r="AN76" s="13"/>
      <c r="AO76" s="13"/>
      <c r="AP76" s="13"/>
      <c r="AQ76" s="13"/>
      <c r="AR76" s="13"/>
      <c r="AS76" s="13"/>
      <c r="AT76" s="13"/>
      <c r="AU76" s="13"/>
      <c r="AV76" s="13"/>
      <c r="AW76" s="13"/>
      <c r="AX76" s="13"/>
      <c r="AY76" s="13"/>
      <c r="AZ76" s="13"/>
      <c r="BA76" s="13"/>
      <c r="BB76" s="13"/>
      <c r="BC76" s="13"/>
      <c r="BD76" s="13"/>
      <c r="BE76" s="13"/>
      <c r="BF76" s="13"/>
      <c r="BG76" s="13"/>
      <c r="BH76" s="13"/>
      <c r="BI76" s="13"/>
      <c r="BJ76" s="13"/>
      <c r="BK76" s="13"/>
      <c r="BL76" s="13"/>
      <c r="BM76" s="13"/>
      <c r="BN76" s="13"/>
      <c r="BO76" s="13"/>
      <c r="BP76" s="13"/>
      <c r="BQ76" s="13"/>
      <c r="BR76" s="13"/>
      <c r="BS76" s="13"/>
      <c r="BT76" s="13"/>
      <c r="BU76" s="13"/>
      <c r="BV76" s="13"/>
      <c r="BW76" s="13"/>
      <c r="BX76" s="13"/>
      <c r="BY76" s="13"/>
      <c r="BZ76" s="13"/>
    </row>
    <row r="77" spans="7:78" s="64" customFormat="1" x14ac:dyDescent="0.35">
      <c r="G77" s="128"/>
      <c r="H77" s="128"/>
      <c r="AE77" s="13"/>
      <c r="AF77" s="13"/>
      <c r="AG77" s="13"/>
      <c r="AH77" s="13"/>
      <c r="AI77" s="13"/>
      <c r="AJ77" s="13"/>
      <c r="AK77" s="13"/>
      <c r="AL77" s="13"/>
      <c r="AM77" s="13"/>
      <c r="AN77" s="13"/>
      <c r="AO77" s="13"/>
      <c r="AP77" s="13"/>
      <c r="AQ77" s="13"/>
      <c r="AR77" s="13"/>
      <c r="AS77" s="13"/>
      <c r="AT77" s="13"/>
      <c r="AU77" s="13"/>
      <c r="AV77" s="13"/>
      <c r="AW77" s="13"/>
      <c r="AX77" s="13"/>
      <c r="AY77" s="13"/>
      <c r="AZ77" s="13"/>
      <c r="BA77" s="13"/>
      <c r="BB77" s="13"/>
      <c r="BC77" s="13"/>
      <c r="BD77" s="13"/>
      <c r="BE77" s="13"/>
      <c r="BF77" s="13"/>
      <c r="BG77" s="13"/>
      <c r="BH77" s="13"/>
      <c r="BI77" s="13"/>
      <c r="BJ77" s="13"/>
      <c r="BK77" s="13"/>
      <c r="BL77" s="13"/>
      <c r="BM77" s="13"/>
      <c r="BN77" s="13"/>
      <c r="BO77" s="13"/>
      <c r="BP77" s="13"/>
      <c r="BQ77" s="13"/>
      <c r="BR77" s="13"/>
      <c r="BS77" s="13"/>
      <c r="BT77" s="13"/>
      <c r="BU77" s="13"/>
      <c r="BV77" s="13"/>
      <c r="BW77" s="13"/>
      <c r="BX77" s="13"/>
      <c r="BY77" s="13"/>
      <c r="BZ77" s="13"/>
    </row>
    <row r="78" spans="7:78" s="64" customFormat="1" x14ac:dyDescent="0.35">
      <c r="G78" s="128"/>
      <c r="H78" s="128"/>
      <c r="AE78" s="13"/>
      <c r="AF78" s="13"/>
      <c r="AG78" s="13"/>
      <c r="AH78" s="13"/>
      <c r="AI78" s="13"/>
      <c r="AJ78" s="13"/>
      <c r="AK78" s="13"/>
      <c r="AL78" s="13"/>
      <c r="AM78" s="13"/>
      <c r="AN78" s="13"/>
      <c r="AO78" s="13"/>
      <c r="AP78" s="13"/>
      <c r="AQ78" s="13"/>
      <c r="AR78" s="13"/>
      <c r="AS78" s="13"/>
      <c r="AT78" s="13"/>
      <c r="AU78" s="13"/>
      <c r="AV78" s="13"/>
      <c r="AW78" s="13"/>
      <c r="AX78" s="13"/>
      <c r="AY78" s="13"/>
      <c r="AZ78" s="13"/>
      <c r="BA78" s="13"/>
      <c r="BB78" s="13"/>
      <c r="BC78" s="13"/>
      <c r="BD78" s="13"/>
      <c r="BE78" s="13"/>
      <c r="BF78" s="13"/>
      <c r="BG78" s="13"/>
      <c r="BH78" s="13"/>
      <c r="BI78" s="13"/>
      <c r="BJ78" s="13"/>
      <c r="BK78" s="13"/>
      <c r="BL78" s="13"/>
      <c r="BM78" s="13"/>
      <c r="BN78" s="13"/>
      <c r="BO78" s="13"/>
      <c r="BP78" s="13"/>
      <c r="BQ78" s="13"/>
      <c r="BR78" s="13"/>
      <c r="BS78" s="13"/>
      <c r="BT78" s="13"/>
      <c r="BU78" s="13"/>
      <c r="BV78" s="13"/>
      <c r="BW78" s="13"/>
      <c r="BX78" s="13"/>
      <c r="BY78" s="13"/>
      <c r="BZ78" s="13"/>
    </row>
    <row r="79" spans="7:78" s="64" customFormat="1" x14ac:dyDescent="0.35">
      <c r="G79" s="128"/>
      <c r="H79" s="128"/>
      <c r="AE79" s="13"/>
      <c r="AF79" s="13"/>
      <c r="AG79" s="13"/>
      <c r="AH79" s="13"/>
      <c r="AI79" s="13"/>
      <c r="AJ79" s="13"/>
      <c r="AK79" s="13"/>
      <c r="AL79" s="13"/>
      <c r="AM79" s="13"/>
      <c r="AN79" s="13"/>
      <c r="AO79" s="13"/>
      <c r="AP79" s="13"/>
      <c r="AQ79" s="13"/>
      <c r="AR79" s="13"/>
      <c r="AS79" s="13"/>
      <c r="AT79" s="13"/>
      <c r="AU79" s="13"/>
      <c r="AV79" s="13"/>
      <c r="AW79" s="13"/>
      <c r="AX79" s="13"/>
      <c r="AY79" s="13"/>
      <c r="AZ79" s="13"/>
      <c r="BA79" s="13"/>
      <c r="BB79" s="13"/>
      <c r="BC79" s="13"/>
      <c r="BD79" s="13"/>
      <c r="BE79" s="13"/>
      <c r="BF79" s="13"/>
      <c r="BG79" s="13"/>
      <c r="BH79" s="13"/>
      <c r="BI79" s="13"/>
      <c r="BJ79" s="13"/>
      <c r="BK79" s="13"/>
      <c r="BL79" s="13"/>
      <c r="BM79" s="13"/>
      <c r="BN79" s="13"/>
      <c r="BO79" s="13"/>
      <c r="BP79" s="13"/>
      <c r="BQ79" s="13"/>
      <c r="BR79" s="13"/>
      <c r="BS79" s="13"/>
      <c r="BT79" s="13"/>
      <c r="BU79" s="13"/>
      <c r="BV79" s="13"/>
      <c r="BW79" s="13"/>
      <c r="BX79" s="13"/>
      <c r="BY79" s="13"/>
      <c r="BZ79" s="13"/>
    </row>
    <row r="80" spans="7:78" s="64" customFormat="1" x14ac:dyDescent="0.35">
      <c r="G80" s="128"/>
      <c r="H80" s="128"/>
      <c r="AE80" s="13"/>
      <c r="AF80" s="13"/>
      <c r="AG80" s="13"/>
      <c r="AH80" s="13"/>
      <c r="AI80" s="13"/>
      <c r="AJ80" s="13"/>
      <c r="AK80" s="13"/>
      <c r="AL80" s="13"/>
      <c r="AM80" s="13"/>
      <c r="AN80" s="13"/>
      <c r="AO80" s="13"/>
      <c r="AP80" s="13"/>
      <c r="AQ80" s="13"/>
      <c r="AR80" s="13"/>
      <c r="AS80" s="13"/>
      <c r="AT80" s="13"/>
      <c r="AU80" s="13"/>
      <c r="AV80" s="13"/>
      <c r="AW80" s="13"/>
      <c r="AX80" s="13"/>
      <c r="AY80" s="13"/>
      <c r="AZ80" s="13"/>
      <c r="BA80" s="13"/>
      <c r="BB80" s="13"/>
      <c r="BC80" s="13"/>
      <c r="BD80" s="13"/>
      <c r="BE80" s="13"/>
      <c r="BF80" s="13"/>
      <c r="BG80" s="13"/>
      <c r="BH80" s="13"/>
      <c r="BI80" s="13"/>
      <c r="BJ80" s="13"/>
      <c r="BK80" s="13"/>
      <c r="BL80" s="13"/>
      <c r="BM80" s="13"/>
      <c r="BN80" s="13"/>
      <c r="BO80" s="13"/>
      <c r="BP80" s="13"/>
      <c r="BQ80" s="13"/>
      <c r="BR80" s="13"/>
      <c r="BS80" s="13"/>
      <c r="BT80" s="13"/>
      <c r="BU80" s="13"/>
      <c r="BV80" s="13"/>
      <c r="BW80" s="13"/>
      <c r="BX80" s="13"/>
      <c r="BY80" s="13"/>
      <c r="BZ80" s="13"/>
    </row>
    <row r="81" spans="7:78" s="64" customFormat="1" x14ac:dyDescent="0.35">
      <c r="G81" s="128"/>
      <c r="H81" s="128"/>
      <c r="AE81" s="13"/>
      <c r="AF81" s="13"/>
      <c r="AG81" s="13"/>
      <c r="AH81" s="13"/>
      <c r="AI81" s="13"/>
      <c r="AJ81" s="13"/>
      <c r="AK81" s="13"/>
      <c r="AL81" s="13"/>
      <c r="AM81" s="13"/>
      <c r="AN81" s="13"/>
      <c r="AO81" s="13"/>
      <c r="AP81" s="13"/>
      <c r="AQ81" s="13"/>
      <c r="AR81" s="13"/>
      <c r="AS81" s="13"/>
      <c r="AT81" s="13"/>
      <c r="AU81" s="13"/>
      <c r="AV81" s="13"/>
      <c r="AW81" s="13"/>
      <c r="AX81" s="13"/>
      <c r="AY81" s="13"/>
      <c r="AZ81" s="13"/>
      <c r="BA81" s="13"/>
      <c r="BB81" s="13"/>
      <c r="BC81" s="13"/>
      <c r="BD81" s="13"/>
      <c r="BE81" s="13"/>
      <c r="BF81" s="13"/>
      <c r="BG81" s="13"/>
      <c r="BH81" s="13"/>
      <c r="BI81" s="13"/>
      <c r="BJ81" s="13"/>
      <c r="BK81" s="13"/>
      <c r="BL81" s="13"/>
      <c r="BM81" s="13"/>
      <c r="BN81" s="13"/>
      <c r="BO81" s="13"/>
      <c r="BP81" s="13"/>
      <c r="BQ81" s="13"/>
      <c r="BR81" s="13"/>
      <c r="BS81" s="13"/>
      <c r="BT81" s="13"/>
      <c r="BU81" s="13"/>
      <c r="BV81" s="13"/>
      <c r="BW81" s="13"/>
      <c r="BX81" s="13"/>
      <c r="BY81" s="13"/>
      <c r="BZ81" s="13"/>
    </row>
    <row r="82" spans="7:78" s="64" customFormat="1" x14ac:dyDescent="0.35">
      <c r="G82" s="128"/>
      <c r="H82" s="128"/>
      <c r="AE82" s="13"/>
      <c r="AF82" s="13"/>
      <c r="AG82" s="13"/>
      <c r="AH82" s="13"/>
      <c r="AI82" s="13"/>
      <c r="AJ82" s="13"/>
      <c r="AK82" s="13"/>
      <c r="AL82" s="13"/>
      <c r="AM82" s="13"/>
      <c r="AN82" s="13"/>
      <c r="AO82" s="13"/>
      <c r="AP82" s="13"/>
      <c r="AQ82" s="13"/>
      <c r="AR82" s="13"/>
      <c r="AS82" s="13"/>
      <c r="AT82" s="13"/>
      <c r="AU82" s="13"/>
      <c r="AV82" s="13"/>
      <c r="AW82" s="13"/>
      <c r="AX82" s="13"/>
      <c r="AY82" s="13"/>
      <c r="AZ82" s="13"/>
      <c r="BA82" s="13"/>
      <c r="BB82" s="13"/>
      <c r="BC82" s="13"/>
      <c r="BD82" s="13"/>
      <c r="BE82" s="13"/>
      <c r="BF82" s="13"/>
      <c r="BG82" s="13"/>
      <c r="BH82" s="13"/>
      <c r="BI82" s="13"/>
      <c r="BJ82" s="13"/>
      <c r="BK82" s="13"/>
      <c r="BL82" s="13"/>
      <c r="BM82" s="13"/>
      <c r="BN82" s="13"/>
      <c r="BO82" s="13"/>
      <c r="BP82" s="13"/>
      <c r="BQ82" s="13"/>
      <c r="BR82" s="13"/>
      <c r="BS82" s="13"/>
      <c r="BT82" s="13"/>
      <c r="BU82" s="13"/>
      <c r="BV82" s="13"/>
      <c r="BW82" s="13"/>
      <c r="BX82" s="13"/>
      <c r="BY82" s="13"/>
      <c r="BZ82" s="13"/>
    </row>
    <row r="83" spans="7:78" s="64" customFormat="1" x14ac:dyDescent="0.35">
      <c r="G83" s="128"/>
      <c r="H83" s="128"/>
      <c r="AE83" s="13"/>
      <c r="AF83" s="13"/>
      <c r="AG83" s="13"/>
      <c r="AH83" s="13"/>
      <c r="AI83" s="13"/>
      <c r="AJ83" s="13"/>
      <c r="AK83" s="13"/>
      <c r="AL83" s="13"/>
      <c r="AM83" s="13"/>
      <c r="AN83" s="13"/>
      <c r="AO83" s="13"/>
      <c r="AP83" s="13"/>
      <c r="AQ83" s="13"/>
      <c r="AR83" s="13"/>
      <c r="AS83" s="13"/>
      <c r="AT83" s="13"/>
      <c r="AU83" s="13"/>
      <c r="AV83" s="13"/>
      <c r="AW83" s="13"/>
      <c r="AX83" s="13"/>
      <c r="AY83" s="13"/>
      <c r="AZ83" s="13"/>
      <c r="BA83" s="13"/>
      <c r="BB83" s="13"/>
      <c r="BC83" s="13"/>
      <c r="BD83" s="13"/>
      <c r="BE83" s="13"/>
      <c r="BF83" s="13"/>
      <c r="BG83" s="13"/>
      <c r="BH83" s="13"/>
      <c r="BI83" s="13"/>
      <c r="BJ83" s="13"/>
      <c r="BK83" s="13"/>
      <c r="BL83" s="13"/>
      <c r="BM83" s="13"/>
      <c r="BN83" s="13"/>
      <c r="BO83" s="13"/>
      <c r="BP83" s="13"/>
      <c r="BQ83" s="13"/>
      <c r="BR83" s="13"/>
      <c r="BS83" s="13"/>
      <c r="BT83" s="13"/>
      <c r="BU83" s="13"/>
      <c r="BV83" s="13"/>
      <c r="BW83" s="13"/>
      <c r="BX83" s="13"/>
      <c r="BY83" s="13"/>
      <c r="BZ83" s="13"/>
    </row>
    <row r="84" spans="7:78" s="64" customFormat="1" x14ac:dyDescent="0.35">
      <c r="G84" s="128"/>
      <c r="H84" s="128"/>
      <c r="AE84" s="13"/>
      <c r="AF84" s="13"/>
      <c r="AG84" s="13"/>
      <c r="AH84" s="13"/>
      <c r="AI84" s="13"/>
      <c r="AJ84" s="13"/>
      <c r="AK84" s="13"/>
      <c r="AL84" s="13"/>
      <c r="AM84" s="13"/>
      <c r="AN84" s="13"/>
      <c r="AO84" s="13"/>
      <c r="AP84" s="13"/>
      <c r="AQ84" s="13"/>
      <c r="AR84" s="13"/>
      <c r="AS84" s="13"/>
      <c r="AT84" s="13"/>
      <c r="AU84" s="13"/>
      <c r="AV84" s="13"/>
      <c r="AW84" s="13"/>
      <c r="AX84" s="13"/>
      <c r="AY84" s="13"/>
      <c r="AZ84" s="13"/>
      <c r="BA84" s="13"/>
      <c r="BB84" s="13"/>
      <c r="BC84" s="13"/>
      <c r="BD84" s="13"/>
      <c r="BE84" s="13"/>
      <c r="BF84" s="13"/>
      <c r="BG84" s="13"/>
      <c r="BH84" s="13"/>
      <c r="BI84" s="13"/>
      <c r="BJ84" s="13"/>
      <c r="BK84" s="13"/>
      <c r="BL84" s="13"/>
      <c r="BM84" s="13"/>
      <c r="BN84" s="13"/>
      <c r="BO84" s="13"/>
      <c r="BP84" s="13"/>
      <c r="BQ84" s="13"/>
      <c r="BR84" s="13"/>
      <c r="BS84" s="13"/>
      <c r="BT84" s="13"/>
      <c r="BU84" s="13"/>
      <c r="BV84" s="13"/>
      <c r="BW84" s="13"/>
      <c r="BX84" s="13"/>
      <c r="BY84" s="13"/>
      <c r="BZ84" s="13"/>
    </row>
    <row r="85" spans="7:78" s="64" customFormat="1" x14ac:dyDescent="0.35">
      <c r="G85" s="128"/>
      <c r="H85" s="128"/>
      <c r="AE85" s="13"/>
      <c r="AF85" s="13"/>
      <c r="AG85" s="13"/>
      <c r="AH85" s="13"/>
      <c r="AI85" s="13"/>
      <c r="AJ85" s="13"/>
      <c r="AK85" s="13"/>
      <c r="AL85" s="13"/>
      <c r="AM85" s="13"/>
      <c r="AN85" s="13"/>
      <c r="AO85" s="13"/>
      <c r="AP85" s="13"/>
      <c r="AQ85" s="13"/>
      <c r="AR85" s="13"/>
      <c r="AS85" s="13"/>
      <c r="AT85" s="13"/>
      <c r="AU85" s="13"/>
      <c r="AV85" s="13"/>
      <c r="AW85" s="13"/>
      <c r="AX85" s="13"/>
      <c r="AY85" s="13"/>
      <c r="AZ85" s="13"/>
      <c r="BA85" s="13"/>
      <c r="BB85" s="13"/>
      <c r="BC85" s="13"/>
      <c r="BD85" s="13"/>
      <c r="BE85" s="13"/>
      <c r="BF85" s="13"/>
      <c r="BG85" s="13"/>
      <c r="BH85" s="13"/>
      <c r="BI85" s="13"/>
      <c r="BJ85" s="13"/>
      <c r="BK85" s="13"/>
      <c r="BL85" s="13"/>
      <c r="BM85" s="13"/>
      <c r="BN85" s="13"/>
      <c r="BO85" s="13"/>
      <c r="BP85" s="13"/>
      <c r="BQ85" s="13"/>
      <c r="BR85" s="13"/>
      <c r="BS85" s="13"/>
      <c r="BT85" s="13"/>
      <c r="BU85" s="13"/>
      <c r="BV85" s="13"/>
      <c r="BW85" s="13"/>
      <c r="BX85" s="13"/>
      <c r="BY85" s="13"/>
      <c r="BZ85" s="13"/>
    </row>
    <row r="86" spans="7:78" s="64" customFormat="1" x14ac:dyDescent="0.35">
      <c r="G86" s="128"/>
      <c r="H86" s="128"/>
      <c r="AE86" s="13"/>
      <c r="AF86" s="13"/>
      <c r="AG86" s="13"/>
      <c r="AH86" s="13"/>
      <c r="AI86" s="13"/>
      <c r="AJ86" s="13"/>
      <c r="AK86" s="13"/>
      <c r="AL86" s="13"/>
      <c r="AM86" s="13"/>
      <c r="AN86" s="13"/>
      <c r="AO86" s="13"/>
      <c r="AP86" s="13"/>
      <c r="AQ86" s="13"/>
      <c r="AR86" s="13"/>
      <c r="AS86" s="13"/>
      <c r="AT86" s="13"/>
      <c r="AU86" s="13"/>
      <c r="AV86" s="13"/>
      <c r="AW86" s="13"/>
      <c r="AX86" s="13"/>
      <c r="AY86" s="13"/>
      <c r="AZ86" s="13"/>
      <c r="BA86" s="13"/>
      <c r="BB86" s="13"/>
      <c r="BC86" s="13"/>
      <c r="BD86" s="13"/>
      <c r="BE86" s="13"/>
      <c r="BF86" s="13"/>
      <c r="BG86" s="13"/>
      <c r="BH86" s="13"/>
      <c r="BI86" s="13"/>
      <c r="BJ86" s="13"/>
      <c r="BK86" s="13"/>
      <c r="BL86" s="13"/>
      <c r="BM86" s="13"/>
      <c r="BN86" s="13"/>
      <c r="BO86" s="13"/>
      <c r="BP86" s="13"/>
      <c r="BQ86" s="13"/>
      <c r="BR86" s="13"/>
      <c r="BS86" s="13"/>
      <c r="BT86" s="13"/>
      <c r="BU86" s="13"/>
      <c r="BV86" s="13"/>
      <c r="BW86" s="13"/>
      <c r="BX86" s="13"/>
      <c r="BY86" s="13"/>
      <c r="BZ86" s="13"/>
    </row>
    <row r="87" spans="7:78" s="64" customFormat="1" x14ac:dyDescent="0.35">
      <c r="G87" s="128"/>
      <c r="H87" s="128"/>
      <c r="AE87" s="13"/>
      <c r="AF87" s="13"/>
      <c r="AG87" s="13"/>
      <c r="AH87" s="13"/>
      <c r="AI87" s="13"/>
      <c r="AJ87" s="13"/>
      <c r="AK87" s="13"/>
      <c r="AL87" s="13"/>
      <c r="AM87" s="13"/>
      <c r="AN87" s="13"/>
      <c r="AO87" s="13"/>
      <c r="AP87" s="13"/>
      <c r="AQ87" s="13"/>
      <c r="AR87" s="13"/>
      <c r="AS87" s="13"/>
      <c r="AT87" s="13"/>
      <c r="AU87" s="13"/>
      <c r="AV87" s="13"/>
      <c r="AW87" s="13"/>
      <c r="AX87" s="13"/>
      <c r="AY87" s="13"/>
      <c r="AZ87" s="13"/>
      <c r="BA87" s="13"/>
      <c r="BB87" s="13"/>
      <c r="BC87" s="13"/>
      <c r="BD87" s="13"/>
      <c r="BE87" s="13"/>
      <c r="BF87" s="13"/>
      <c r="BG87" s="13"/>
      <c r="BH87" s="13"/>
      <c r="BI87" s="13"/>
      <c r="BJ87" s="13"/>
      <c r="BK87" s="13"/>
      <c r="BL87" s="13"/>
      <c r="BM87" s="13"/>
      <c r="BN87" s="13"/>
      <c r="BO87" s="13"/>
      <c r="BP87" s="13"/>
      <c r="BQ87" s="13"/>
      <c r="BR87" s="13"/>
      <c r="BS87" s="13"/>
      <c r="BT87" s="13"/>
      <c r="BU87" s="13"/>
      <c r="BV87" s="13"/>
      <c r="BW87" s="13"/>
      <c r="BX87" s="13"/>
      <c r="BY87" s="13"/>
      <c r="BZ87" s="13"/>
    </row>
    <row r="88" spans="7:78" s="64" customFormat="1" x14ac:dyDescent="0.35">
      <c r="G88" s="128"/>
      <c r="H88" s="128"/>
      <c r="AE88" s="13"/>
      <c r="AF88" s="13"/>
      <c r="AG88" s="13"/>
      <c r="AH88" s="13"/>
      <c r="AI88" s="13"/>
      <c r="AJ88" s="13"/>
      <c r="AK88" s="13"/>
      <c r="AL88" s="13"/>
      <c r="AM88" s="13"/>
      <c r="AN88" s="13"/>
      <c r="AO88" s="13"/>
      <c r="AP88" s="13"/>
      <c r="AQ88" s="13"/>
      <c r="AR88" s="13"/>
      <c r="AS88" s="13"/>
      <c r="AT88" s="13"/>
      <c r="AU88" s="13"/>
      <c r="AV88" s="13"/>
      <c r="AW88" s="13"/>
      <c r="AX88" s="13"/>
      <c r="AY88" s="13"/>
      <c r="AZ88" s="13"/>
      <c r="BA88" s="13"/>
      <c r="BB88" s="13"/>
      <c r="BC88" s="13"/>
      <c r="BD88" s="13"/>
      <c r="BE88" s="13"/>
      <c r="BF88" s="13"/>
      <c r="BG88" s="13"/>
      <c r="BH88" s="13"/>
      <c r="BI88" s="13"/>
      <c r="BJ88" s="13"/>
      <c r="BK88" s="13"/>
      <c r="BL88" s="13"/>
      <c r="BM88" s="13"/>
      <c r="BN88" s="13"/>
      <c r="BO88" s="13"/>
      <c r="BP88" s="13"/>
      <c r="BQ88" s="13"/>
      <c r="BR88" s="13"/>
      <c r="BS88" s="13"/>
      <c r="BT88" s="13"/>
      <c r="BU88" s="13"/>
      <c r="BV88" s="13"/>
      <c r="BW88" s="13"/>
      <c r="BX88" s="13"/>
      <c r="BY88" s="13"/>
      <c r="BZ88" s="13"/>
    </row>
    <row r="89" spans="7:78" s="64" customFormat="1" x14ac:dyDescent="0.35">
      <c r="G89" s="128"/>
      <c r="H89" s="128"/>
      <c r="AE89" s="13"/>
      <c r="AF89" s="13"/>
      <c r="AG89" s="13"/>
      <c r="AH89" s="13"/>
      <c r="AI89" s="13"/>
      <c r="AJ89" s="13"/>
      <c r="AK89" s="13"/>
      <c r="AL89" s="13"/>
      <c r="AM89" s="13"/>
      <c r="AN89" s="13"/>
      <c r="AO89" s="13"/>
      <c r="AP89" s="13"/>
      <c r="AQ89" s="13"/>
      <c r="AR89" s="13"/>
      <c r="AS89" s="13"/>
      <c r="AT89" s="13"/>
      <c r="AU89" s="13"/>
      <c r="AV89" s="13"/>
      <c r="AW89" s="13"/>
      <c r="AX89" s="13"/>
      <c r="AY89" s="13"/>
      <c r="AZ89" s="13"/>
      <c r="BA89" s="13"/>
      <c r="BB89" s="13"/>
      <c r="BC89" s="13"/>
      <c r="BD89" s="13"/>
      <c r="BE89" s="13"/>
      <c r="BF89" s="13"/>
      <c r="BG89" s="13"/>
      <c r="BH89" s="13"/>
      <c r="BI89" s="13"/>
      <c r="BJ89" s="13"/>
      <c r="BK89" s="13"/>
      <c r="BL89" s="13"/>
      <c r="BM89" s="13"/>
      <c r="BN89" s="13"/>
      <c r="BO89" s="13"/>
      <c r="BP89" s="13"/>
      <c r="BQ89" s="13"/>
      <c r="BR89" s="13"/>
      <c r="BS89" s="13"/>
      <c r="BT89" s="13"/>
      <c r="BU89" s="13"/>
      <c r="BV89" s="13"/>
      <c r="BW89" s="13"/>
      <c r="BX89" s="13"/>
      <c r="BY89" s="13"/>
      <c r="BZ89" s="13"/>
    </row>
    <row r="90" spans="7:78" s="64" customFormat="1" x14ac:dyDescent="0.35">
      <c r="G90" s="128"/>
      <c r="H90" s="128"/>
      <c r="AE90" s="13"/>
      <c r="AF90" s="13"/>
      <c r="AG90" s="13"/>
      <c r="AH90" s="13"/>
      <c r="AI90" s="13"/>
      <c r="AJ90" s="13"/>
      <c r="AK90" s="13"/>
      <c r="AL90" s="13"/>
      <c r="AM90" s="13"/>
      <c r="AN90" s="13"/>
      <c r="AO90" s="13"/>
      <c r="AP90" s="13"/>
      <c r="AQ90" s="13"/>
      <c r="AR90" s="13"/>
      <c r="AS90" s="13"/>
      <c r="AT90" s="13"/>
      <c r="AU90" s="13"/>
      <c r="AV90" s="13"/>
      <c r="AW90" s="13"/>
      <c r="AX90" s="13"/>
      <c r="AY90" s="13"/>
      <c r="AZ90" s="13"/>
      <c r="BA90" s="13"/>
      <c r="BB90" s="13"/>
      <c r="BC90" s="13"/>
      <c r="BD90" s="13"/>
      <c r="BE90" s="13"/>
      <c r="BF90" s="13"/>
      <c r="BG90" s="13"/>
      <c r="BH90" s="13"/>
      <c r="BI90" s="13"/>
      <c r="BJ90" s="13"/>
      <c r="BK90" s="13"/>
      <c r="BL90" s="13"/>
      <c r="BM90" s="13"/>
      <c r="BN90" s="13"/>
      <c r="BO90" s="13"/>
      <c r="BP90" s="13"/>
      <c r="BQ90" s="13"/>
      <c r="BR90" s="13"/>
      <c r="BS90" s="13"/>
      <c r="BT90" s="13"/>
      <c r="BU90" s="13"/>
      <c r="BV90" s="13"/>
      <c r="BW90" s="13"/>
      <c r="BX90" s="13"/>
      <c r="BY90" s="13"/>
      <c r="BZ90" s="13"/>
    </row>
    <row r="91" spans="7:78" s="64" customFormat="1" x14ac:dyDescent="0.35">
      <c r="G91" s="128"/>
      <c r="H91" s="128"/>
      <c r="AE91" s="13"/>
      <c r="AF91" s="13"/>
      <c r="AG91" s="13"/>
      <c r="AH91" s="13"/>
      <c r="AI91" s="13"/>
      <c r="AJ91" s="13"/>
      <c r="AK91" s="13"/>
      <c r="AL91" s="13"/>
      <c r="AM91" s="13"/>
      <c r="AN91" s="13"/>
      <c r="AO91" s="13"/>
      <c r="AP91" s="13"/>
      <c r="AQ91" s="13"/>
      <c r="AR91" s="13"/>
      <c r="AS91" s="13"/>
      <c r="AT91" s="13"/>
      <c r="AU91" s="13"/>
      <c r="AV91" s="13"/>
      <c r="AW91" s="13"/>
      <c r="AX91" s="13"/>
      <c r="AY91" s="13"/>
      <c r="AZ91" s="13"/>
      <c r="BA91" s="13"/>
      <c r="BB91" s="13"/>
      <c r="BC91" s="13"/>
      <c r="BD91" s="13"/>
      <c r="BE91" s="13"/>
      <c r="BF91" s="13"/>
      <c r="BG91" s="13"/>
      <c r="BH91" s="13"/>
      <c r="BI91" s="13"/>
      <c r="BJ91" s="13"/>
      <c r="BK91" s="13"/>
      <c r="BL91" s="13"/>
      <c r="BM91" s="13"/>
      <c r="BN91" s="13"/>
      <c r="BO91" s="13"/>
      <c r="BP91" s="13"/>
      <c r="BQ91" s="13"/>
      <c r="BR91" s="13"/>
      <c r="BS91" s="13"/>
      <c r="BT91" s="13"/>
      <c r="BU91" s="13"/>
      <c r="BV91" s="13"/>
      <c r="BW91" s="13"/>
      <c r="BX91" s="13"/>
      <c r="BY91" s="13"/>
      <c r="BZ91" s="13"/>
    </row>
    <row r="92" spans="7:78" s="64" customFormat="1" x14ac:dyDescent="0.35">
      <c r="G92" s="128"/>
      <c r="H92" s="128"/>
      <c r="AE92" s="13"/>
      <c r="AF92" s="13"/>
      <c r="AG92" s="13"/>
      <c r="AH92" s="13"/>
      <c r="AI92" s="13"/>
      <c r="AJ92" s="13"/>
      <c r="AK92" s="13"/>
      <c r="AL92" s="13"/>
      <c r="AM92" s="13"/>
      <c r="AN92" s="13"/>
      <c r="AO92" s="13"/>
      <c r="AP92" s="13"/>
      <c r="AQ92" s="13"/>
      <c r="AR92" s="13"/>
      <c r="AS92" s="13"/>
      <c r="AT92" s="13"/>
      <c r="AU92" s="13"/>
      <c r="AV92" s="13"/>
      <c r="AW92" s="13"/>
      <c r="AX92" s="13"/>
      <c r="AY92" s="13"/>
      <c r="AZ92" s="13"/>
      <c r="BA92" s="13"/>
      <c r="BB92" s="13"/>
      <c r="BC92" s="13"/>
      <c r="BD92" s="13"/>
      <c r="BE92" s="13"/>
      <c r="BF92" s="13"/>
      <c r="BG92" s="13"/>
      <c r="BH92" s="13"/>
      <c r="BI92" s="13"/>
      <c r="BJ92" s="13"/>
      <c r="BK92" s="13"/>
      <c r="BL92" s="13"/>
      <c r="BM92" s="13"/>
      <c r="BN92" s="13"/>
      <c r="BO92" s="13"/>
      <c r="BP92" s="13"/>
      <c r="BQ92" s="13"/>
      <c r="BR92" s="13"/>
      <c r="BS92" s="13"/>
      <c r="BT92" s="13"/>
      <c r="BU92" s="13"/>
      <c r="BV92" s="13"/>
      <c r="BW92" s="13"/>
      <c r="BX92" s="13"/>
      <c r="BY92" s="13"/>
      <c r="BZ92" s="13"/>
    </row>
    <row r="93" spans="7:78" s="64" customFormat="1" x14ac:dyDescent="0.35">
      <c r="G93" s="128"/>
      <c r="H93" s="128"/>
      <c r="AE93" s="13"/>
      <c r="AF93" s="13"/>
      <c r="AG93" s="13"/>
      <c r="AH93" s="13"/>
      <c r="AI93" s="13"/>
      <c r="AJ93" s="13"/>
      <c r="AK93" s="13"/>
      <c r="AL93" s="13"/>
      <c r="AM93" s="13"/>
      <c r="AN93" s="13"/>
      <c r="AO93" s="13"/>
      <c r="AP93" s="13"/>
      <c r="AQ93" s="13"/>
      <c r="AR93" s="13"/>
      <c r="AS93" s="13"/>
      <c r="AT93" s="13"/>
      <c r="AU93" s="13"/>
      <c r="AV93" s="13"/>
      <c r="AW93" s="13"/>
      <c r="AX93" s="13"/>
      <c r="AY93" s="13"/>
      <c r="AZ93" s="13"/>
      <c r="BA93" s="13"/>
      <c r="BB93" s="13"/>
      <c r="BC93" s="13"/>
      <c r="BD93" s="13"/>
      <c r="BE93" s="13"/>
      <c r="BF93" s="13"/>
      <c r="BG93" s="13"/>
      <c r="BH93" s="13"/>
      <c r="BI93" s="13"/>
      <c r="BJ93" s="13"/>
      <c r="BK93" s="13"/>
      <c r="BL93" s="13"/>
      <c r="BM93" s="13"/>
      <c r="BN93" s="13"/>
      <c r="BO93" s="13"/>
      <c r="BP93" s="13"/>
      <c r="BQ93" s="13"/>
      <c r="BR93" s="13"/>
      <c r="BS93" s="13"/>
      <c r="BT93" s="13"/>
      <c r="BU93" s="13"/>
      <c r="BV93" s="13"/>
      <c r="BW93" s="13"/>
      <c r="BX93" s="13"/>
      <c r="BY93" s="13"/>
      <c r="BZ93" s="13"/>
    </row>
    <row r="94" spans="7:78" s="64" customFormat="1" x14ac:dyDescent="0.35">
      <c r="G94" s="128"/>
      <c r="H94" s="128"/>
      <c r="AE94" s="13"/>
      <c r="AF94" s="13"/>
      <c r="AG94" s="13"/>
      <c r="AH94" s="13"/>
      <c r="AI94" s="13"/>
      <c r="AJ94" s="13"/>
      <c r="AK94" s="13"/>
      <c r="AL94" s="13"/>
      <c r="AM94" s="13"/>
      <c r="AN94" s="13"/>
      <c r="AO94" s="13"/>
      <c r="AP94" s="13"/>
      <c r="AQ94" s="13"/>
      <c r="AR94" s="13"/>
      <c r="AS94" s="13"/>
      <c r="AT94" s="13"/>
      <c r="AU94" s="13"/>
      <c r="AV94" s="13"/>
      <c r="AW94" s="13"/>
      <c r="AX94" s="13"/>
      <c r="AY94" s="13"/>
      <c r="AZ94" s="13"/>
      <c r="BA94" s="13"/>
      <c r="BB94" s="13"/>
      <c r="BC94" s="13"/>
      <c r="BD94" s="13"/>
      <c r="BE94" s="13"/>
      <c r="BF94" s="13"/>
      <c r="BG94" s="13"/>
      <c r="BH94" s="13"/>
      <c r="BI94" s="13"/>
      <c r="BJ94" s="13"/>
      <c r="BK94" s="13"/>
      <c r="BL94" s="13"/>
      <c r="BM94" s="13"/>
      <c r="BN94" s="13"/>
      <c r="BO94" s="13"/>
      <c r="BP94" s="13"/>
      <c r="BQ94" s="13"/>
      <c r="BR94" s="13"/>
      <c r="BS94" s="13"/>
      <c r="BT94" s="13"/>
      <c r="BU94" s="13"/>
      <c r="BV94" s="13"/>
      <c r="BW94" s="13"/>
      <c r="BX94" s="13"/>
      <c r="BY94" s="13"/>
      <c r="BZ94" s="13"/>
    </row>
    <row r="95" spans="7:78" s="64" customFormat="1" x14ac:dyDescent="0.35">
      <c r="G95" s="128"/>
      <c r="H95" s="128"/>
      <c r="AE95" s="13"/>
      <c r="AF95" s="13"/>
      <c r="AG95" s="13"/>
      <c r="AH95" s="13"/>
      <c r="AI95" s="13"/>
      <c r="AJ95" s="13"/>
      <c r="AK95" s="13"/>
      <c r="AL95" s="13"/>
      <c r="AM95" s="13"/>
      <c r="AN95" s="13"/>
      <c r="AO95" s="13"/>
      <c r="AP95" s="13"/>
      <c r="AQ95" s="13"/>
      <c r="AR95" s="13"/>
      <c r="AS95" s="13"/>
      <c r="AT95" s="13"/>
      <c r="AU95" s="13"/>
      <c r="AV95" s="13"/>
      <c r="AW95" s="13"/>
      <c r="AX95" s="13"/>
      <c r="AY95" s="13"/>
      <c r="AZ95" s="13"/>
      <c r="BA95" s="13"/>
      <c r="BB95" s="13"/>
      <c r="BC95" s="13"/>
      <c r="BD95" s="13"/>
      <c r="BE95" s="13"/>
      <c r="BF95" s="13"/>
      <c r="BG95" s="13"/>
      <c r="BH95" s="13"/>
      <c r="BI95" s="13"/>
      <c r="BJ95" s="13"/>
      <c r="BK95" s="13"/>
      <c r="BL95" s="13"/>
      <c r="BM95" s="13"/>
      <c r="BN95" s="13"/>
      <c r="BO95" s="13"/>
      <c r="BP95" s="13"/>
      <c r="BQ95" s="13"/>
      <c r="BR95" s="13"/>
      <c r="BS95" s="13"/>
      <c r="BT95" s="13"/>
      <c r="BU95" s="13"/>
      <c r="BV95" s="13"/>
      <c r="BW95" s="13"/>
      <c r="BX95" s="13"/>
      <c r="BY95" s="13"/>
      <c r="BZ95" s="13"/>
    </row>
    <row r="96" spans="7:78" s="64" customFormat="1" x14ac:dyDescent="0.35">
      <c r="G96" s="128"/>
      <c r="H96" s="128"/>
      <c r="AE96" s="13"/>
      <c r="AF96" s="13"/>
      <c r="AG96" s="13"/>
      <c r="AH96" s="13"/>
      <c r="AI96" s="13"/>
      <c r="AJ96" s="13"/>
      <c r="AK96" s="13"/>
      <c r="AL96" s="13"/>
      <c r="AM96" s="13"/>
      <c r="AN96" s="13"/>
      <c r="AO96" s="13"/>
      <c r="AP96" s="13"/>
      <c r="AQ96" s="13"/>
      <c r="AR96" s="13"/>
      <c r="AS96" s="13"/>
      <c r="AT96" s="13"/>
      <c r="AU96" s="13"/>
      <c r="AV96" s="13"/>
      <c r="AW96" s="13"/>
      <c r="AX96" s="13"/>
      <c r="AY96" s="13"/>
      <c r="AZ96" s="13"/>
      <c r="BA96" s="13"/>
      <c r="BB96" s="13"/>
      <c r="BC96" s="13"/>
      <c r="BD96" s="13"/>
      <c r="BE96" s="13"/>
      <c r="BF96" s="13"/>
      <c r="BG96" s="13"/>
      <c r="BH96" s="13"/>
      <c r="BI96" s="13"/>
      <c r="BJ96" s="13"/>
      <c r="BK96" s="13"/>
      <c r="BL96" s="13"/>
      <c r="BM96" s="13"/>
      <c r="BN96" s="13"/>
      <c r="BO96" s="13"/>
      <c r="BP96" s="13"/>
      <c r="BQ96" s="13"/>
      <c r="BR96" s="13"/>
      <c r="BS96" s="13"/>
      <c r="BT96" s="13"/>
      <c r="BU96" s="13"/>
      <c r="BV96" s="13"/>
      <c r="BW96" s="13"/>
      <c r="BX96" s="13"/>
      <c r="BY96" s="13"/>
      <c r="BZ96" s="13"/>
    </row>
    <row r="97" spans="7:78" s="64" customFormat="1" x14ac:dyDescent="0.35">
      <c r="G97" s="128"/>
      <c r="H97" s="128"/>
      <c r="AE97" s="13"/>
      <c r="AF97" s="13"/>
      <c r="AG97" s="13"/>
      <c r="AH97" s="13"/>
      <c r="AI97" s="13"/>
      <c r="AJ97" s="13"/>
      <c r="AK97" s="13"/>
      <c r="AL97" s="13"/>
      <c r="AM97" s="13"/>
      <c r="AN97" s="13"/>
      <c r="AO97" s="13"/>
      <c r="AP97" s="13"/>
      <c r="AQ97" s="13"/>
      <c r="AR97" s="13"/>
      <c r="AS97" s="13"/>
      <c r="AT97" s="13"/>
      <c r="AU97" s="13"/>
      <c r="AV97" s="13"/>
      <c r="AW97" s="13"/>
      <c r="AX97" s="13"/>
      <c r="AY97" s="13"/>
      <c r="AZ97" s="13"/>
      <c r="BA97" s="13"/>
      <c r="BB97" s="13"/>
      <c r="BC97" s="13"/>
      <c r="BD97" s="13"/>
      <c r="BE97" s="13"/>
      <c r="BF97" s="13"/>
      <c r="BG97" s="13"/>
      <c r="BH97" s="13"/>
      <c r="BI97" s="13"/>
      <c r="BJ97" s="13"/>
      <c r="BK97" s="13"/>
      <c r="BL97" s="13"/>
      <c r="BM97" s="13"/>
      <c r="BN97" s="13"/>
      <c r="BO97" s="13"/>
      <c r="BP97" s="13"/>
      <c r="BQ97" s="13"/>
      <c r="BR97" s="13"/>
      <c r="BS97" s="13"/>
      <c r="BT97" s="13"/>
      <c r="BU97" s="13"/>
      <c r="BV97" s="13"/>
      <c r="BW97" s="13"/>
      <c r="BX97" s="13"/>
      <c r="BY97" s="13"/>
      <c r="BZ97" s="13"/>
    </row>
    <row r="98" spans="7:78" s="64" customFormat="1" x14ac:dyDescent="0.35">
      <c r="G98" s="128"/>
      <c r="H98" s="128"/>
      <c r="AE98" s="13"/>
      <c r="AF98" s="13"/>
      <c r="AG98" s="13"/>
      <c r="AH98" s="13"/>
      <c r="AI98" s="13"/>
      <c r="AJ98" s="13"/>
      <c r="AK98" s="13"/>
      <c r="AL98" s="13"/>
      <c r="AM98" s="13"/>
      <c r="AN98" s="13"/>
      <c r="AO98" s="13"/>
      <c r="AP98" s="13"/>
      <c r="AQ98" s="13"/>
      <c r="AR98" s="13"/>
      <c r="AS98" s="13"/>
      <c r="AT98" s="13"/>
      <c r="AU98" s="13"/>
      <c r="AV98" s="13"/>
      <c r="AW98" s="13"/>
      <c r="AX98" s="13"/>
      <c r="AY98" s="13"/>
      <c r="AZ98" s="13"/>
      <c r="BA98" s="13"/>
      <c r="BB98" s="13"/>
      <c r="BC98" s="13"/>
      <c r="BD98" s="13"/>
      <c r="BE98" s="13"/>
      <c r="BF98" s="13"/>
      <c r="BG98" s="13"/>
      <c r="BH98" s="13"/>
      <c r="BI98" s="13"/>
      <c r="BJ98" s="13"/>
      <c r="BK98" s="13"/>
      <c r="BL98" s="13"/>
      <c r="BM98" s="13"/>
      <c r="BN98" s="13"/>
      <c r="BO98" s="13"/>
      <c r="BP98" s="13"/>
      <c r="BQ98" s="13"/>
      <c r="BR98" s="13"/>
      <c r="BS98" s="13"/>
      <c r="BT98" s="13"/>
      <c r="BU98" s="13"/>
      <c r="BV98" s="13"/>
      <c r="BW98" s="13"/>
      <c r="BX98" s="13"/>
      <c r="BY98" s="13"/>
      <c r="BZ98" s="13"/>
    </row>
    <row r="99" spans="7:78" s="64" customFormat="1" x14ac:dyDescent="0.35">
      <c r="G99" s="128"/>
      <c r="H99" s="128"/>
      <c r="AE99" s="13"/>
      <c r="AF99" s="13"/>
      <c r="AG99" s="13"/>
      <c r="AH99" s="13"/>
      <c r="AI99" s="13"/>
      <c r="AJ99" s="13"/>
      <c r="AK99" s="13"/>
      <c r="AL99" s="13"/>
      <c r="AM99" s="13"/>
      <c r="AN99" s="13"/>
      <c r="AO99" s="13"/>
      <c r="AP99" s="13"/>
      <c r="AQ99" s="13"/>
      <c r="AR99" s="13"/>
      <c r="AS99" s="13"/>
      <c r="AT99" s="13"/>
      <c r="AU99" s="13"/>
      <c r="AV99" s="13"/>
      <c r="AW99" s="13"/>
      <c r="AX99" s="13"/>
      <c r="AY99" s="13"/>
      <c r="AZ99" s="13"/>
      <c r="BA99" s="13"/>
      <c r="BB99" s="13"/>
      <c r="BC99" s="13"/>
      <c r="BD99" s="13"/>
      <c r="BE99" s="13"/>
      <c r="BF99" s="13"/>
      <c r="BG99" s="13"/>
      <c r="BH99" s="13"/>
      <c r="BI99" s="13"/>
      <c r="BJ99" s="13"/>
      <c r="BK99" s="13"/>
      <c r="BL99" s="13"/>
      <c r="BM99" s="13"/>
      <c r="BN99" s="13"/>
      <c r="BO99" s="13"/>
      <c r="BP99" s="13"/>
      <c r="BQ99" s="13"/>
      <c r="BR99" s="13"/>
      <c r="BS99" s="13"/>
      <c r="BT99" s="13"/>
      <c r="BU99" s="13"/>
      <c r="BV99" s="13"/>
      <c r="BW99" s="13"/>
      <c r="BX99" s="13"/>
      <c r="BY99" s="13"/>
      <c r="BZ99" s="13"/>
    </row>
    <row r="100" spans="7:78" s="64" customFormat="1" x14ac:dyDescent="0.35">
      <c r="G100" s="128"/>
      <c r="H100" s="128"/>
      <c r="AE100" s="13"/>
      <c r="AF100" s="13"/>
      <c r="AG100" s="13"/>
      <c r="AH100" s="13"/>
      <c r="AI100" s="13"/>
      <c r="AJ100" s="13"/>
      <c r="AK100" s="13"/>
      <c r="AL100" s="13"/>
      <c r="AM100" s="13"/>
      <c r="AN100" s="13"/>
      <c r="AO100" s="13"/>
      <c r="AP100" s="13"/>
      <c r="AQ100" s="13"/>
      <c r="AR100" s="13"/>
      <c r="AS100" s="13"/>
      <c r="AT100" s="13"/>
      <c r="AU100" s="13"/>
      <c r="AV100" s="13"/>
      <c r="AW100" s="13"/>
      <c r="AX100" s="13"/>
      <c r="AY100" s="13"/>
      <c r="AZ100" s="13"/>
      <c r="BA100" s="13"/>
      <c r="BB100" s="13"/>
      <c r="BC100" s="13"/>
      <c r="BD100" s="13"/>
      <c r="BE100" s="13"/>
      <c r="BF100" s="13"/>
      <c r="BG100" s="13"/>
      <c r="BH100" s="13"/>
      <c r="BI100" s="13"/>
      <c r="BJ100" s="13"/>
      <c r="BK100" s="13"/>
      <c r="BL100" s="13"/>
      <c r="BM100" s="13"/>
      <c r="BN100" s="13"/>
      <c r="BO100" s="13"/>
      <c r="BP100" s="13"/>
      <c r="BQ100" s="13"/>
      <c r="BR100" s="13"/>
      <c r="BS100" s="13"/>
      <c r="BT100" s="13"/>
      <c r="BU100" s="13"/>
      <c r="BV100" s="13"/>
      <c r="BW100" s="13"/>
      <c r="BX100" s="13"/>
      <c r="BY100" s="13"/>
      <c r="BZ100" s="13"/>
    </row>
    <row r="101" spans="7:78" s="64" customFormat="1" x14ac:dyDescent="0.35">
      <c r="G101" s="128"/>
      <c r="H101" s="128"/>
      <c r="AE101" s="13"/>
      <c r="AF101" s="13"/>
      <c r="AG101" s="13"/>
      <c r="AH101" s="13"/>
      <c r="AI101" s="13"/>
      <c r="AJ101" s="13"/>
      <c r="AK101" s="13"/>
      <c r="AL101" s="13"/>
      <c r="AM101" s="13"/>
      <c r="AN101" s="13"/>
      <c r="AO101" s="13"/>
      <c r="AP101" s="13"/>
      <c r="AQ101" s="13"/>
      <c r="AR101" s="13"/>
      <c r="AS101" s="13"/>
      <c r="AT101" s="13"/>
      <c r="AU101" s="13"/>
      <c r="AV101" s="13"/>
      <c r="AW101" s="13"/>
      <c r="AX101" s="13"/>
      <c r="AY101" s="13"/>
      <c r="AZ101" s="13"/>
      <c r="BA101" s="13"/>
      <c r="BB101" s="13"/>
      <c r="BC101" s="13"/>
      <c r="BD101" s="13"/>
      <c r="BE101" s="13"/>
      <c r="BF101" s="13"/>
      <c r="BG101" s="13"/>
      <c r="BH101" s="13"/>
      <c r="BI101" s="13"/>
      <c r="BJ101" s="13"/>
      <c r="BK101" s="13"/>
      <c r="BL101" s="13"/>
      <c r="BM101" s="13"/>
      <c r="BN101" s="13"/>
      <c r="BO101" s="13"/>
      <c r="BP101" s="13"/>
      <c r="BQ101" s="13"/>
      <c r="BR101" s="13"/>
      <c r="BS101" s="13"/>
      <c r="BT101" s="13"/>
      <c r="BU101" s="13"/>
      <c r="BV101" s="13"/>
      <c r="BW101" s="13"/>
      <c r="BX101" s="13"/>
      <c r="BY101" s="13"/>
      <c r="BZ101" s="13"/>
    </row>
    <row r="102" spans="7:78" s="64" customFormat="1" x14ac:dyDescent="0.35">
      <c r="G102" s="128"/>
      <c r="H102" s="128"/>
      <c r="AE102" s="13"/>
      <c r="AF102" s="13"/>
      <c r="AG102" s="13"/>
      <c r="AH102" s="13"/>
      <c r="AI102" s="13"/>
      <c r="AJ102" s="13"/>
      <c r="AK102" s="13"/>
      <c r="AL102" s="13"/>
      <c r="AM102" s="13"/>
      <c r="AN102" s="13"/>
      <c r="AO102" s="13"/>
      <c r="AP102" s="13"/>
      <c r="AQ102" s="13"/>
      <c r="AR102" s="13"/>
      <c r="AS102" s="13"/>
      <c r="AT102" s="13"/>
      <c r="AU102" s="13"/>
      <c r="AV102" s="13"/>
      <c r="AW102" s="13"/>
      <c r="AX102" s="13"/>
      <c r="AY102" s="13"/>
      <c r="AZ102" s="13"/>
      <c r="BA102" s="13"/>
      <c r="BB102" s="13"/>
      <c r="BC102" s="13"/>
      <c r="BD102" s="13"/>
      <c r="BE102" s="13"/>
      <c r="BF102" s="13"/>
      <c r="BG102" s="13"/>
      <c r="BH102" s="13"/>
      <c r="BI102" s="13"/>
      <c r="BJ102" s="13"/>
      <c r="BK102" s="13"/>
      <c r="BL102" s="13"/>
      <c r="BM102" s="13"/>
      <c r="BN102" s="13"/>
      <c r="BO102" s="13"/>
      <c r="BP102" s="13"/>
      <c r="BQ102" s="13"/>
      <c r="BR102" s="13"/>
      <c r="BS102" s="13"/>
      <c r="BT102" s="13"/>
      <c r="BU102" s="13"/>
      <c r="BV102" s="13"/>
      <c r="BW102" s="13"/>
      <c r="BX102" s="13"/>
      <c r="BY102" s="13"/>
      <c r="BZ102" s="13"/>
    </row>
    <row r="103" spans="7:78" s="64" customFormat="1" x14ac:dyDescent="0.35">
      <c r="G103" s="128"/>
      <c r="H103" s="128"/>
      <c r="AE103" s="13"/>
      <c r="AF103" s="13"/>
      <c r="AG103" s="13"/>
      <c r="AH103" s="13"/>
      <c r="AI103" s="13"/>
      <c r="AJ103" s="13"/>
      <c r="AK103" s="13"/>
      <c r="AL103" s="13"/>
      <c r="AM103" s="13"/>
      <c r="AN103" s="13"/>
      <c r="AO103" s="13"/>
      <c r="AP103" s="13"/>
      <c r="AQ103" s="13"/>
      <c r="AR103" s="13"/>
      <c r="AS103" s="13"/>
      <c r="AT103" s="13"/>
      <c r="AU103" s="13"/>
      <c r="AV103" s="13"/>
      <c r="AW103" s="13"/>
      <c r="AX103" s="13"/>
      <c r="AY103" s="13"/>
      <c r="AZ103" s="13"/>
      <c r="BA103" s="13"/>
      <c r="BB103" s="13"/>
      <c r="BC103" s="13"/>
      <c r="BD103" s="13"/>
      <c r="BE103" s="13"/>
      <c r="BF103" s="13"/>
      <c r="BG103" s="13"/>
      <c r="BH103" s="13"/>
      <c r="BI103" s="13"/>
      <c r="BJ103" s="13"/>
      <c r="BK103" s="13"/>
      <c r="BL103" s="13"/>
      <c r="BM103" s="13"/>
      <c r="BN103" s="13"/>
      <c r="BO103" s="13"/>
      <c r="BP103" s="13"/>
      <c r="BQ103" s="13"/>
      <c r="BR103" s="13"/>
      <c r="BS103" s="13"/>
      <c r="BT103" s="13"/>
      <c r="BU103" s="13"/>
      <c r="BV103" s="13"/>
      <c r="BW103" s="13"/>
      <c r="BX103" s="13"/>
      <c r="BY103" s="13"/>
      <c r="BZ103" s="13"/>
    </row>
    <row r="104" spans="7:78" s="64" customFormat="1" x14ac:dyDescent="0.35">
      <c r="G104" s="128"/>
      <c r="H104" s="128"/>
      <c r="AE104" s="13"/>
      <c r="AF104" s="13"/>
      <c r="AG104" s="13"/>
      <c r="AH104" s="13"/>
      <c r="AI104" s="13"/>
      <c r="AJ104" s="13"/>
      <c r="AK104" s="13"/>
      <c r="AL104" s="13"/>
      <c r="AM104" s="13"/>
      <c r="AN104" s="13"/>
      <c r="AO104" s="13"/>
      <c r="AP104" s="13"/>
      <c r="AQ104" s="13"/>
      <c r="AR104" s="13"/>
      <c r="AS104" s="13"/>
      <c r="AT104" s="13"/>
      <c r="AU104" s="13"/>
      <c r="AV104" s="13"/>
      <c r="AW104" s="13"/>
      <c r="AX104" s="13"/>
      <c r="AY104" s="13"/>
      <c r="AZ104" s="13"/>
      <c r="BA104" s="13"/>
      <c r="BB104" s="13"/>
      <c r="BC104" s="13"/>
      <c r="BD104" s="13"/>
      <c r="BE104" s="13"/>
      <c r="BF104" s="13"/>
      <c r="BG104" s="13"/>
      <c r="BH104" s="13"/>
      <c r="BI104" s="13"/>
      <c r="BJ104" s="13"/>
      <c r="BK104" s="13"/>
      <c r="BL104" s="13"/>
      <c r="BM104" s="13"/>
      <c r="BN104" s="13"/>
      <c r="BO104" s="13"/>
      <c r="BP104" s="13"/>
      <c r="BQ104" s="13"/>
      <c r="BR104" s="13"/>
      <c r="BS104" s="13"/>
      <c r="BT104" s="13"/>
      <c r="BU104" s="13"/>
      <c r="BV104" s="13"/>
      <c r="BW104" s="13"/>
      <c r="BX104" s="13"/>
      <c r="BY104" s="13"/>
      <c r="BZ104" s="13"/>
    </row>
    <row r="105" spans="7:78" s="64" customFormat="1" x14ac:dyDescent="0.35">
      <c r="G105" s="128"/>
      <c r="H105" s="128"/>
      <c r="AE105" s="13"/>
      <c r="AF105" s="13"/>
      <c r="AG105" s="13"/>
      <c r="AH105" s="13"/>
      <c r="AI105" s="13"/>
      <c r="AJ105" s="13"/>
      <c r="AK105" s="13"/>
      <c r="AL105" s="13"/>
      <c r="AM105" s="13"/>
      <c r="AN105" s="13"/>
      <c r="AO105" s="13"/>
      <c r="AP105" s="13"/>
      <c r="AQ105" s="13"/>
      <c r="AR105" s="13"/>
      <c r="AS105" s="13"/>
      <c r="AT105" s="13"/>
      <c r="AU105" s="13"/>
      <c r="AV105" s="13"/>
      <c r="AW105" s="13"/>
      <c r="AX105" s="13"/>
      <c r="AY105" s="13"/>
      <c r="AZ105" s="13"/>
      <c r="BA105" s="13"/>
      <c r="BB105" s="13"/>
      <c r="BC105" s="13"/>
      <c r="BD105" s="13"/>
      <c r="BE105" s="13"/>
      <c r="BF105" s="13"/>
      <c r="BG105" s="13"/>
      <c r="BH105" s="13"/>
      <c r="BI105" s="13"/>
      <c r="BJ105" s="13"/>
      <c r="BK105" s="13"/>
      <c r="BL105" s="13"/>
      <c r="BM105" s="13"/>
      <c r="BN105" s="13"/>
      <c r="BO105" s="13"/>
      <c r="BP105" s="13"/>
      <c r="BQ105" s="13"/>
      <c r="BR105" s="13"/>
      <c r="BS105" s="13"/>
      <c r="BT105" s="13"/>
      <c r="BU105" s="13"/>
      <c r="BV105" s="13"/>
      <c r="BW105" s="13"/>
      <c r="BX105" s="13"/>
      <c r="BY105" s="13"/>
      <c r="BZ105" s="13"/>
    </row>
    <row r="106" spans="7:78" s="64" customFormat="1" x14ac:dyDescent="0.35">
      <c r="G106" s="128"/>
      <c r="H106" s="128"/>
      <c r="AE106" s="13"/>
      <c r="AF106" s="13"/>
      <c r="AG106" s="13"/>
      <c r="AH106" s="13"/>
      <c r="AI106" s="13"/>
      <c r="AJ106" s="13"/>
      <c r="AK106" s="13"/>
      <c r="AL106" s="13"/>
      <c r="AM106" s="13"/>
      <c r="AN106" s="13"/>
      <c r="AO106" s="13"/>
      <c r="AP106" s="13"/>
      <c r="AQ106" s="13"/>
      <c r="AR106" s="13"/>
      <c r="AS106" s="13"/>
      <c r="AT106" s="13"/>
      <c r="AU106" s="13"/>
      <c r="AV106" s="13"/>
      <c r="AW106" s="13"/>
      <c r="AX106" s="13"/>
      <c r="AY106" s="13"/>
      <c r="AZ106" s="13"/>
      <c r="BA106" s="13"/>
      <c r="BB106" s="13"/>
      <c r="BC106" s="13"/>
      <c r="BD106" s="13"/>
      <c r="BE106" s="13"/>
      <c r="BF106" s="13"/>
      <c r="BG106" s="13"/>
      <c r="BH106" s="13"/>
      <c r="BI106" s="13"/>
      <c r="BJ106" s="13"/>
      <c r="BK106" s="13"/>
      <c r="BL106" s="13"/>
      <c r="BM106" s="13"/>
      <c r="BN106" s="13"/>
      <c r="BO106" s="13"/>
      <c r="BP106" s="13"/>
      <c r="BQ106" s="13"/>
      <c r="BR106" s="13"/>
      <c r="BS106" s="13"/>
      <c r="BT106" s="13"/>
      <c r="BU106" s="13"/>
      <c r="BV106" s="13"/>
      <c r="BW106" s="13"/>
      <c r="BX106" s="13"/>
      <c r="BY106" s="13"/>
      <c r="BZ106" s="13"/>
    </row>
    <row r="107" spans="7:78" s="64" customFormat="1" x14ac:dyDescent="0.35">
      <c r="G107" s="128"/>
      <c r="H107" s="128"/>
      <c r="AE107" s="13"/>
      <c r="AF107" s="13"/>
      <c r="AG107" s="13"/>
      <c r="AH107" s="13"/>
      <c r="AI107" s="13"/>
      <c r="AJ107" s="13"/>
      <c r="AK107" s="13"/>
      <c r="AL107" s="13"/>
      <c r="AM107" s="13"/>
      <c r="AN107" s="13"/>
      <c r="AO107" s="13"/>
      <c r="AP107" s="13"/>
      <c r="AQ107" s="13"/>
      <c r="AR107" s="13"/>
      <c r="AS107" s="13"/>
      <c r="AT107" s="13"/>
      <c r="AU107" s="13"/>
      <c r="AV107" s="13"/>
      <c r="AW107" s="13"/>
      <c r="AX107" s="13"/>
      <c r="AY107" s="13"/>
      <c r="AZ107" s="13"/>
      <c r="BA107" s="13"/>
      <c r="BB107" s="13"/>
      <c r="BC107" s="13"/>
      <c r="BD107" s="13"/>
      <c r="BE107" s="13"/>
      <c r="BF107" s="13"/>
      <c r="BG107" s="13"/>
      <c r="BH107" s="13"/>
      <c r="BI107" s="13"/>
      <c r="BJ107" s="13"/>
      <c r="BK107" s="13"/>
      <c r="BL107" s="13"/>
      <c r="BM107" s="13"/>
      <c r="BN107" s="13"/>
      <c r="BO107" s="13"/>
      <c r="BP107" s="13"/>
      <c r="BQ107" s="13"/>
      <c r="BR107" s="13"/>
      <c r="BS107" s="13"/>
      <c r="BT107" s="13"/>
      <c r="BU107" s="13"/>
      <c r="BV107" s="13"/>
      <c r="BW107" s="13"/>
      <c r="BX107" s="13"/>
      <c r="BY107" s="13"/>
      <c r="BZ107" s="13"/>
    </row>
    <row r="108" spans="7:78" s="64" customFormat="1" x14ac:dyDescent="0.35">
      <c r="G108" s="128"/>
      <c r="H108" s="128"/>
      <c r="AE108" s="13"/>
      <c r="AF108" s="13"/>
      <c r="AG108" s="13"/>
      <c r="AH108" s="13"/>
      <c r="AI108" s="13"/>
      <c r="AJ108" s="13"/>
      <c r="AK108" s="13"/>
      <c r="AL108" s="13"/>
      <c r="AM108" s="13"/>
      <c r="AN108" s="13"/>
      <c r="AO108" s="13"/>
      <c r="AP108" s="13"/>
      <c r="AQ108" s="13"/>
      <c r="AR108" s="13"/>
      <c r="AS108" s="13"/>
      <c r="AT108" s="13"/>
      <c r="AU108" s="13"/>
      <c r="AV108" s="13"/>
      <c r="AW108" s="13"/>
      <c r="AX108" s="13"/>
      <c r="AY108" s="13"/>
      <c r="AZ108" s="13"/>
      <c r="BA108" s="13"/>
      <c r="BB108" s="13"/>
      <c r="BC108" s="13"/>
      <c r="BD108" s="13"/>
      <c r="BE108" s="13"/>
      <c r="BF108" s="13"/>
      <c r="BG108" s="13"/>
      <c r="BH108" s="13"/>
      <c r="BI108" s="13"/>
      <c r="BJ108" s="13"/>
      <c r="BK108" s="13"/>
      <c r="BL108" s="13"/>
      <c r="BM108" s="13"/>
      <c r="BN108" s="13"/>
      <c r="BO108" s="13"/>
      <c r="BP108" s="13"/>
      <c r="BQ108" s="13"/>
      <c r="BR108" s="13"/>
      <c r="BS108" s="13"/>
      <c r="BT108" s="13"/>
      <c r="BU108" s="13"/>
      <c r="BV108" s="13"/>
      <c r="BW108" s="13"/>
      <c r="BX108" s="13"/>
      <c r="BY108" s="13"/>
      <c r="BZ108" s="13"/>
    </row>
    <row r="109" spans="7:78" s="64" customFormat="1" x14ac:dyDescent="0.35">
      <c r="G109" s="128"/>
      <c r="H109" s="128"/>
      <c r="AE109" s="13"/>
      <c r="AF109" s="13"/>
      <c r="AG109" s="13"/>
      <c r="AH109" s="13"/>
      <c r="AI109" s="13"/>
      <c r="AJ109" s="13"/>
      <c r="AK109" s="13"/>
      <c r="AL109" s="13"/>
      <c r="AM109" s="13"/>
      <c r="AN109" s="13"/>
      <c r="AO109" s="13"/>
      <c r="AP109" s="13"/>
      <c r="AQ109" s="13"/>
      <c r="AR109" s="13"/>
      <c r="AS109" s="13"/>
      <c r="AT109" s="13"/>
      <c r="AU109" s="13"/>
      <c r="AV109" s="13"/>
      <c r="AW109" s="13"/>
      <c r="AX109" s="13"/>
      <c r="AY109" s="13"/>
      <c r="AZ109" s="13"/>
      <c r="BA109" s="13"/>
      <c r="BB109" s="13"/>
      <c r="BC109" s="13"/>
      <c r="BD109" s="13"/>
      <c r="BE109" s="13"/>
      <c r="BF109" s="13"/>
      <c r="BG109" s="13"/>
      <c r="BH109" s="13"/>
      <c r="BI109" s="13"/>
      <c r="BJ109" s="13"/>
      <c r="BK109" s="13"/>
      <c r="BL109" s="13"/>
      <c r="BM109" s="13"/>
      <c r="BN109" s="13"/>
      <c r="BO109" s="13"/>
      <c r="BP109" s="13"/>
      <c r="BQ109" s="13"/>
      <c r="BR109" s="13"/>
      <c r="BS109" s="13"/>
      <c r="BT109" s="13"/>
      <c r="BU109" s="13"/>
      <c r="BV109" s="13"/>
      <c r="BW109" s="13"/>
      <c r="BX109" s="13"/>
      <c r="BY109" s="13"/>
      <c r="BZ109" s="13"/>
    </row>
    <row r="110" spans="7:78" s="64" customFormat="1" x14ac:dyDescent="0.35">
      <c r="G110" s="128"/>
      <c r="H110" s="128"/>
      <c r="AE110" s="13"/>
      <c r="AF110" s="13"/>
      <c r="AG110" s="13"/>
      <c r="AH110" s="13"/>
      <c r="AI110" s="13"/>
      <c r="AJ110" s="13"/>
      <c r="AK110" s="13"/>
      <c r="AL110" s="13"/>
      <c r="AM110" s="13"/>
      <c r="AN110" s="13"/>
      <c r="AO110" s="13"/>
      <c r="AP110" s="13"/>
      <c r="AQ110" s="13"/>
      <c r="AR110" s="13"/>
      <c r="AS110" s="13"/>
      <c r="AT110" s="13"/>
      <c r="AU110" s="13"/>
      <c r="AV110" s="13"/>
      <c r="AW110" s="13"/>
      <c r="AX110" s="13"/>
      <c r="AY110" s="13"/>
      <c r="AZ110" s="13"/>
      <c r="BA110" s="13"/>
      <c r="BB110" s="13"/>
      <c r="BC110" s="13"/>
      <c r="BD110" s="13"/>
      <c r="BE110" s="13"/>
      <c r="BF110" s="13"/>
      <c r="BG110" s="13"/>
      <c r="BH110" s="13"/>
      <c r="BI110" s="13"/>
      <c r="BJ110" s="13"/>
      <c r="BK110" s="13"/>
      <c r="BL110" s="13"/>
      <c r="BM110" s="13"/>
      <c r="BN110" s="13"/>
      <c r="BO110" s="13"/>
      <c r="BP110" s="13"/>
      <c r="BQ110" s="13"/>
      <c r="BR110" s="13"/>
      <c r="BS110" s="13"/>
      <c r="BT110" s="13"/>
      <c r="BU110" s="13"/>
      <c r="BV110" s="13"/>
      <c r="BW110" s="13"/>
      <c r="BX110" s="13"/>
      <c r="BY110" s="13"/>
      <c r="BZ110" s="13"/>
    </row>
    <row r="111" spans="7:78" s="64" customFormat="1" x14ac:dyDescent="0.35">
      <c r="G111" s="128"/>
      <c r="H111" s="128"/>
      <c r="AE111" s="13"/>
      <c r="AF111" s="13"/>
      <c r="AG111" s="13"/>
      <c r="AH111" s="13"/>
      <c r="AI111" s="13"/>
      <c r="AJ111" s="13"/>
      <c r="AK111" s="13"/>
      <c r="AL111" s="13"/>
      <c r="AM111" s="13"/>
      <c r="AN111" s="13"/>
      <c r="AO111" s="13"/>
      <c r="AP111" s="13"/>
      <c r="AQ111" s="13"/>
      <c r="AR111" s="13"/>
      <c r="AS111" s="13"/>
      <c r="AT111" s="13"/>
      <c r="AU111" s="13"/>
      <c r="AV111" s="13"/>
      <c r="AW111" s="13"/>
      <c r="AX111" s="13"/>
      <c r="AY111" s="13"/>
      <c r="AZ111" s="13"/>
      <c r="BA111" s="13"/>
      <c r="BB111" s="13"/>
      <c r="BC111" s="13"/>
      <c r="BD111" s="13"/>
      <c r="BE111" s="13"/>
      <c r="BF111" s="13"/>
      <c r="BG111" s="13"/>
      <c r="BH111" s="13"/>
      <c r="BI111" s="13"/>
      <c r="BJ111" s="13"/>
      <c r="BK111" s="13"/>
      <c r="BL111" s="13"/>
      <c r="BM111" s="13"/>
      <c r="BN111" s="13"/>
      <c r="BO111" s="13"/>
      <c r="BP111" s="13"/>
      <c r="BQ111" s="13"/>
      <c r="BR111" s="13"/>
      <c r="BS111" s="13"/>
      <c r="BT111" s="13"/>
      <c r="BU111" s="13"/>
      <c r="BV111" s="13"/>
      <c r="BW111" s="13"/>
      <c r="BX111" s="13"/>
      <c r="BY111" s="13"/>
      <c r="BZ111" s="13"/>
    </row>
    <row r="112" spans="7:78" s="64" customFormat="1" x14ac:dyDescent="0.35">
      <c r="G112" s="128"/>
      <c r="H112" s="128"/>
      <c r="AE112" s="13"/>
      <c r="AF112" s="13"/>
      <c r="AG112" s="13"/>
      <c r="AH112" s="13"/>
      <c r="AI112" s="13"/>
      <c r="AJ112" s="13"/>
      <c r="AK112" s="13"/>
      <c r="AL112" s="13"/>
      <c r="AM112" s="13"/>
      <c r="AN112" s="13"/>
      <c r="AO112" s="13"/>
      <c r="AP112" s="13"/>
      <c r="AQ112" s="13"/>
      <c r="AR112" s="13"/>
      <c r="AS112" s="13"/>
      <c r="AT112" s="13"/>
      <c r="AU112" s="13"/>
      <c r="AV112" s="13"/>
      <c r="AW112" s="13"/>
      <c r="AX112" s="13"/>
      <c r="AY112" s="13"/>
      <c r="AZ112" s="13"/>
      <c r="BA112" s="13"/>
      <c r="BB112" s="13"/>
      <c r="BC112" s="13"/>
      <c r="BD112" s="13"/>
      <c r="BE112" s="13"/>
      <c r="BF112" s="13"/>
      <c r="BG112" s="13"/>
      <c r="BH112" s="13"/>
      <c r="BI112" s="13"/>
      <c r="BJ112" s="13"/>
      <c r="BK112" s="13"/>
      <c r="BL112" s="13"/>
      <c r="BM112" s="13"/>
      <c r="BN112" s="13"/>
      <c r="BO112" s="13"/>
      <c r="BP112" s="13"/>
      <c r="BQ112" s="13"/>
      <c r="BR112" s="13"/>
      <c r="BS112" s="13"/>
      <c r="BT112" s="13"/>
      <c r="BU112" s="13"/>
      <c r="BV112" s="13"/>
      <c r="BW112" s="13"/>
      <c r="BX112" s="13"/>
      <c r="BY112" s="13"/>
      <c r="BZ112" s="13"/>
    </row>
    <row r="113" spans="7:78" s="64" customFormat="1" x14ac:dyDescent="0.35">
      <c r="G113" s="128"/>
      <c r="H113" s="128"/>
      <c r="AE113" s="13"/>
      <c r="AF113" s="13"/>
      <c r="AG113" s="13"/>
      <c r="AH113" s="13"/>
      <c r="AI113" s="13"/>
      <c r="AJ113" s="13"/>
      <c r="AK113" s="13"/>
      <c r="AL113" s="13"/>
      <c r="AM113" s="13"/>
      <c r="AN113" s="13"/>
      <c r="AO113" s="13"/>
      <c r="AP113" s="13"/>
      <c r="AQ113" s="13"/>
      <c r="AR113" s="13"/>
      <c r="AS113" s="13"/>
      <c r="AT113" s="13"/>
      <c r="AU113" s="13"/>
      <c r="AV113" s="13"/>
      <c r="AW113" s="13"/>
      <c r="AX113" s="13"/>
      <c r="AY113" s="13"/>
      <c r="AZ113" s="13"/>
      <c r="BA113" s="13"/>
      <c r="BB113" s="13"/>
      <c r="BC113" s="13"/>
      <c r="BD113" s="13"/>
      <c r="BE113" s="13"/>
      <c r="BF113" s="13"/>
      <c r="BG113" s="13"/>
      <c r="BH113" s="13"/>
      <c r="BI113" s="13"/>
      <c r="BJ113" s="13"/>
      <c r="BK113" s="13"/>
      <c r="BL113" s="13"/>
      <c r="BM113" s="13"/>
      <c r="BN113" s="13"/>
      <c r="BO113" s="13"/>
      <c r="BP113" s="13"/>
      <c r="BQ113" s="13"/>
      <c r="BR113" s="13"/>
      <c r="BS113" s="13"/>
      <c r="BT113" s="13"/>
      <c r="BU113" s="13"/>
      <c r="BV113" s="13"/>
      <c r="BW113" s="13"/>
      <c r="BX113" s="13"/>
      <c r="BY113" s="13"/>
      <c r="BZ113" s="13"/>
    </row>
    <row r="114" spans="7:78" s="64" customFormat="1" x14ac:dyDescent="0.35">
      <c r="G114" s="128"/>
      <c r="H114" s="128"/>
      <c r="AE114" s="13"/>
      <c r="AF114" s="13"/>
      <c r="AG114" s="13"/>
      <c r="AH114" s="13"/>
      <c r="AI114" s="13"/>
      <c r="AJ114" s="13"/>
      <c r="AK114" s="13"/>
      <c r="AL114" s="13"/>
      <c r="AM114" s="13"/>
      <c r="AN114" s="13"/>
      <c r="AO114" s="13"/>
      <c r="AP114" s="13"/>
      <c r="AQ114" s="13"/>
      <c r="AR114" s="13"/>
      <c r="AS114" s="13"/>
      <c r="AT114" s="13"/>
      <c r="AU114" s="13"/>
      <c r="AV114" s="13"/>
      <c r="AW114" s="13"/>
      <c r="AX114" s="13"/>
      <c r="AY114" s="13"/>
      <c r="AZ114" s="13"/>
      <c r="BA114" s="13"/>
      <c r="BB114" s="13"/>
      <c r="BC114" s="13"/>
      <c r="BD114" s="13"/>
      <c r="BE114" s="13"/>
      <c r="BF114" s="13"/>
      <c r="BG114" s="13"/>
      <c r="BH114" s="13"/>
      <c r="BI114" s="13"/>
      <c r="BJ114" s="13"/>
      <c r="BK114" s="13"/>
      <c r="BL114" s="13"/>
      <c r="BM114" s="13"/>
      <c r="BN114" s="13"/>
      <c r="BO114" s="13"/>
      <c r="BP114" s="13"/>
      <c r="BQ114" s="13"/>
      <c r="BR114" s="13"/>
      <c r="BS114" s="13"/>
      <c r="BT114" s="13"/>
      <c r="BU114" s="13"/>
      <c r="BV114" s="13"/>
      <c r="BW114" s="13"/>
      <c r="BX114" s="13"/>
      <c r="BY114" s="13"/>
      <c r="BZ114" s="13"/>
    </row>
    <row r="115" spans="7:78" s="64" customFormat="1" x14ac:dyDescent="0.35">
      <c r="G115" s="128"/>
      <c r="H115" s="128"/>
      <c r="AE115" s="13"/>
      <c r="AF115" s="13"/>
      <c r="AG115" s="13"/>
      <c r="AH115" s="13"/>
      <c r="AI115" s="13"/>
      <c r="AJ115" s="13"/>
      <c r="AK115" s="13"/>
      <c r="AL115" s="13"/>
      <c r="AM115" s="13"/>
      <c r="AN115" s="13"/>
      <c r="AO115" s="13"/>
      <c r="AP115" s="13"/>
      <c r="AQ115" s="13"/>
      <c r="AR115" s="13"/>
      <c r="AS115" s="13"/>
      <c r="AT115" s="13"/>
      <c r="AU115" s="13"/>
      <c r="AV115" s="13"/>
      <c r="AW115" s="13"/>
      <c r="AX115" s="13"/>
      <c r="AY115" s="13"/>
      <c r="AZ115" s="13"/>
      <c r="BA115" s="13"/>
      <c r="BB115" s="13"/>
      <c r="BC115" s="13"/>
      <c r="BD115" s="13"/>
      <c r="BE115" s="13"/>
      <c r="BF115" s="13"/>
      <c r="BG115" s="13"/>
      <c r="BH115" s="13"/>
      <c r="BI115" s="13"/>
      <c r="BJ115" s="13"/>
      <c r="BK115" s="13"/>
      <c r="BL115" s="13"/>
      <c r="BM115" s="13"/>
      <c r="BN115" s="13"/>
      <c r="BO115" s="13"/>
      <c r="BP115" s="13"/>
      <c r="BQ115" s="13"/>
      <c r="BR115" s="13"/>
      <c r="BS115" s="13"/>
      <c r="BT115" s="13"/>
      <c r="BU115" s="13"/>
      <c r="BV115" s="13"/>
      <c r="BW115" s="13"/>
      <c r="BX115" s="13"/>
      <c r="BY115" s="13"/>
      <c r="BZ115" s="13"/>
    </row>
    <row r="116" spans="7:78" s="64" customFormat="1" x14ac:dyDescent="0.35">
      <c r="G116" s="128"/>
      <c r="H116" s="128"/>
      <c r="AE116" s="13"/>
      <c r="AF116" s="13"/>
      <c r="AG116" s="13"/>
      <c r="AH116" s="13"/>
      <c r="AI116" s="13"/>
      <c r="AJ116" s="13"/>
      <c r="AK116" s="13"/>
      <c r="AL116" s="13"/>
      <c r="AM116" s="13"/>
      <c r="AN116" s="13"/>
      <c r="AO116" s="13"/>
      <c r="AP116" s="13"/>
      <c r="AQ116" s="13"/>
      <c r="AR116" s="13"/>
      <c r="AS116" s="13"/>
      <c r="AT116" s="13"/>
      <c r="AU116" s="13"/>
      <c r="AV116" s="13"/>
      <c r="AW116" s="13"/>
      <c r="AX116" s="13"/>
      <c r="AY116" s="13"/>
      <c r="AZ116" s="13"/>
      <c r="BA116" s="13"/>
      <c r="BB116" s="13"/>
      <c r="BC116" s="13"/>
      <c r="BD116" s="13"/>
      <c r="BE116" s="13"/>
      <c r="BF116" s="13"/>
      <c r="BG116" s="13"/>
      <c r="BH116" s="13"/>
      <c r="BI116" s="13"/>
      <c r="BJ116" s="13"/>
      <c r="BK116" s="13"/>
      <c r="BL116" s="13"/>
      <c r="BM116" s="13"/>
      <c r="BN116" s="13"/>
      <c r="BO116" s="13"/>
      <c r="BP116" s="13"/>
      <c r="BQ116" s="13"/>
      <c r="BR116" s="13"/>
      <c r="BS116" s="13"/>
      <c r="BT116" s="13"/>
      <c r="BU116" s="13"/>
      <c r="BV116" s="13"/>
      <c r="BW116" s="13"/>
      <c r="BX116" s="13"/>
      <c r="BY116" s="13"/>
      <c r="BZ116" s="13"/>
    </row>
    <row r="117" spans="7:78" s="64" customFormat="1" x14ac:dyDescent="0.35">
      <c r="G117" s="128"/>
      <c r="H117" s="128"/>
      <c r="AE117" s="13"/>
      <c r="AF117" s="13"/>
      <c r="AG117" s="13"/>
      <c r="AH117" s="13"/>
      <c r="AI117" s="13"/>
      <c r="AJ117" s="13"/>
      <c r="AK117" s="13"/>
      <c r="AL117" s="13"/>
      <c r="AM117" s="13"/>
      <c r="AN117" s="13"/>
      <c r="AO117" s="13"/>
      <c r="AP117" s="13"/>
      <c r="AQ117" s="13"/>
      <c r="AR117" s="13"/>
      <c r="AS117" s="13"/>
      <c r="AT117" s="13"/>
      <c r="AU117" s="13"/>
      <c r="AV117" s="13"/>
      <c r="AW117" s="13"/>
      <c r="AX117" s="13"/>
      <c r="AY117" s="13"/>
      <c r="AZ117" s="13"/>
      <c r="BA117" s="13"/>
      <c r="BB117" s="13"/>
      <c r="BC117" s="13"/>
      <c r="BD117" s="13"/>
      <c r="BE117" s="13"/>
      <c r="BF117" s="13"/>
      <c r="BG117" s="13"/>
      <c r="BH117" s="13"/>
      <c r="BI117" s="13"/>
      <c r="BJ117" s="13"/>
      <c r="BK117" s="13"/>
      <c r="BL117" s="13"/>
      <c r="BM117" s="13"/>
      <c r="BN117" s="13"/>
      <c r="BO117" s="13"/>
      <c r="BP117" s="13"/>
      <c r="BQ117" s="13"/>
      <c r="BR117" s="13"/>
      <c r="BS117" s="13"/>
      <c r="BT117" s="13"/>
      <c r="BU117" s="13"/>
      <c r="BV117" s="13"/>
      <c r="BW117" s="13"/>
      <c r="BX117" s="13"/>
      <c r="BY117" s="13"/>
      <c r="BZ117" s="13"/>
    </row>
    <row r="118" spans="7:78" s="64" customFormat="1" x14ac:dyDescent="0.35">
      <c r="G118" s="128"/>
      <c r="H118" s="128"/>
      <c r="AE118" s="13"/>
      <c r="AF118" s="13"/>
      <c r="AG118" s="13"/>
      <c r="AH118" s="13"/>
      <c r="AI118" s="13"/>
      <c r="AJ118" s="13"/>
      <c r="AK118" s="13"/>
      <c r="AL118" s="13"/>
      <c r="AM118" s="13"/>
      <c r="AN118" s="13"/>
      <c r="AO118" s="13"/>
      <c r="AP118" s="13"/>
      <c r="AQ118" s="13"/>
      <c r="AR118" s="13"/>
      <c r="AS118" s="13"/>
      <c r="AT118" s="13"/>
      <c r="AU118" s="13"/>
      <c r="AV118" s="13"/>
      <c r="AW118" s="13"/>
      <c r="AX118" s="13"/>
      <c r="AY118" s="13"/>
      <c r="AZ118" s="13"/>
      <c r="BA118" s="13"/>
      <c r="BB118" s="13"/>
      <c r="BC118" s="13"/>
      <c r="BD118" s="13"/>
      <c r="BE118" s="13"/>
      <c r="BF118" s="13"/>
      <c r="BG118" s="13"/>
      <c r="BH118" s="13"/>
      <c r="BI118" s="13"/>
      <c r="BJ118" s="13"/>
      <c r="BK118" s="13"/>
      <c r="BL118" s="13"/>
      <c r="BM118" s="13"/>
      <c r="BN118" s="13"/>
      <c r="BO118" s="13"/>
      <c r="BP118" s="13"/>
      <c r="BQ118" s="13"/>
      <c r="BR118" s="13"/>
      <c r="BS118" s="13"/>
      <c r="BT118" s="13"/>
      <c r="BU118" s="13"/>
      <c r="BV118" s="13"/>
      <c r="BW118" s="13"/>
      <c r="BX118" s="13"/>
      <c r="BY118" s="13"/>
      <c r="BZ118" s="13"/>
    </row>
    <row r="119" spans="7:78" s="64" customFormat="1" x14ac:dyDescent="0.35">
      <c r="G119" s="128"/>
      <c r="H119" s="128"/>
      <c r="AE119" s="13"/>
      <c r="AF119" s="13"/>
      <c r="AG119" s="13"/>
      <c r="AH119" s="13"/>
      <c r="AI119" s="13"/>
      <c r="AJ119" s="13"/>
      <c r="AK119" s="13"/>
      <c r="AL119" s="13"/>
      <c r="AM119" s="13"/>
      <c r="AN119" s="13"/>
      <c r="AO119" s="13"/>
      <c r="AP119" s="13"/>
      <c r="AQ119" s="13"/>
      <c r="AR119" s="13"/>
      <c r="AS119" s="13"/>
      <c r="AT119" s="13"/>
      <c r="AU119" s="13"/>
      <c r="AV119" s="13"/>
      <c r="AW119" s="13"/>
      <c r="AX119" s="13"/>
      <c r="AY119" s="13"/>
      <c r="AZ119" s="13"/>
      <c r="BA119" s="13"/>
      <c r="BB119" s="13"/>
      <c r="BC119" s="13"/>
      <c r="BD119" s="13"/>
      <c r="BE119" s="13"/>
      <c r="BF119" s="13"/>
      <c r="BG119" s="13"/>
      <c r="BH119" s="13"/>
      <c r="BI119" s="13"/>
      <c r="BJ119" s="13"/>
      <c r="BK119" s="13"/>
      <c r="BL119" s="13"/>
      <c r="BM119" s="13"/>
      <c r="BN119" s="13"/>
      <c r="BO119" s="13"/>
      <c r="BP119" s="13"/>
      <c r="BQ119" s="13"/>
      <c r="BR119" s="13"/>
      <c r="BS119" s="13"/>
      <c r="BT119" s="13"/>
      <c r="BU119" s="13"/>
      <c r="BV119" s="13"/>
      <c r="BW119" s="13"/>
      <c r="BX119" s="13"/>
      <c r="BY119" s="13"/>
      <c r="BZ119" s="13"/>
    </row>
    <row r="120" spans="7:78" s="64" customFormat="1" x14ac:dyDescent="0.35">
      <c r="G120" s="128"/>
      <c r="H120" s="128"/>
      <c r="AE120" s="13"/>
      <c r="AF120" s="13"/>
      <c r="AG120" s="13"/>
      <c r="AH120" s="13"/>
      <c r="AI120" s="13"/>
      <c r="AJ120" s="13"/>
      <c r="AK120" s="13"/>
      <c r="AL120" s="13"/>
      <c r="AM120" s="13"/>
      <c r="AN120" s="13"/>
      <c r="AO120" s="13"/>
      <c r="AP120" s="13"/>
      <c r="AQ120" s="13"/>
      <c r="AR120" s="13"/>
      <c r="AS120" s="13"/>
      <c r="AT120" s="13"/>
      <c r="AU120" s="13"/>
      <c r="AV120" s="13"/>
      <c r="AW120" s="13"/>
      <c r="AX120" s="13"/>
      <c r="AY120" s="13"/>
      <c r="AZ120" s="13"/>
      <c r="BA120" s="13"/>
      <c r="BB120" s="13"/>
      <c r="BC120" s="13"/>
      <c r="BD120" s="13"/>
      <c r="BE120" s="13"/>
      <c r="BF120" s="13"/>
      <c r="BG120" s="13"/>
      <c r="BH120" s="13"/>
      <c r="BI120" s="13"/>
      <c r="BJ120" s="13"/>
      <c r="BK120" s="13"/>
      <c r="BL120" s="13"/>
      <c r="BM120" s="13"/>
      <c r="BN120" s="13"/>
      <c r="BO120" s="13"/>
      <c r="BP120" s="13"/>
      <c r="BQ120" s="13"/>
      <c r="BR120" s="13"/>
      <c r="BS120" s="13"/>
      <c r="BT120" s="13"/>
      <c r="BU120" s="13"/>
      <c r="BV120" s="13"/>
      <c r="BW120" s="13"/>
      <c r="BX120" s="13"/>
      <c r="BY120" s="13"/>
      <c r="BZ120" s="13"/>
    </row>
    <row r="121" spans="7:78" s="64" customFormat="1" x14ac:dyDescent="0.35">
      <c r="G121" s="128"/>
      <c r="H121" s="128"/>
      <c r="AE121" s="13"/>
      <c r="AF121" s="13"/>
      <c r="AG121" s="13"/>
      <c r="AH121" s="13"/>
      <c r="AI121" s="13"/>
      <c r="AJ121" s="13"/>
      <c r="AK121" s="13"/>
      <c r="AL121" s="13"/>
      <c r="AM121" s="13"/>
      <c r="AN121" s="13"/>
      <c r="AO121" s="13"/>
      <c r="AP121" s="13"/>
      <c r="AQ121" s="13"/>
      <c r="AR121" s="13"/>
      <c r="AS121" s="13"/>
      <c r="AT121" s="13"/>
      <c r="AU121" s="13"/>
      <c r="AV121" s="13"/>
      <c r="AW121" s="13"/>
      <c r="AX121" s="13"/>
      <c r="AY121" s="13"/>
      <c r="AZ121" s="13"/>
      <c r="BA121" s="13"/>
      <c r="BB121" s="13"/>
      <c r="BC121" s="13"/>
      <c r="BD121" s="13"/>
      <c r="BE121" s="13"/>
      <c r="BF121" s="13"/>
      <c r="BG121" s="13"/>
      <c r="BH121" s="13"/>
      <c r="BI121" s="13"/>
      <c r="BJ121" s="13"/>
      <c r="BK121" s="13"/>
      <c r="BL121" s="13"/>
      <c r="BM121" s="13"/>
      <c r="BN121" s="13"/>
      <c r="BO121" s="13"/>
      <c r="BP121" s="13"/>
      <c r="BQ121" s="13"/>
      <c r="BR121" s="13"/>
      <c r="BS121" s="13"/>
      <c r="BT121" s="13"/>
      <c r="BU121" s="13"/>
      <c r="BV121" s="13"/>
      <c r="BW121" s="13"/>
      <c r="BX121" s="13"/>
      <c r="BY121" s="13"/>
      <c r="BZ121" s="13"/>
    </row>
    <row r="122" spans="7:78" s="64" customFormat="1" x14ac:dyDescent="0.35">
      <c r="G122" s="128"/>
      <c r="H122" s="128"/>
      <c r="AE122" s="13"/>
      <c r="AF122" s="13"/>
      <c r="AG122" s="13"/>
      <c r="AH122" s="13"/>
      <c r="AI122" s="13"/>
      <c r="AJ122" s="13"/>
      <c r="AK122" s="13"/>
      <c r="AL122" s="13"/>
      <c r="AM122" s="13"/>
      <c r="AN122" s="13"/>
      <c r="AO122" s="13"/>
      <c r="AP122" s="13"/>
      <c r="AQ122" s="13"/>
      <c r="AR122" s="13"/>
      <c r="AS122" s="13"/>
      <c r="AT122" s="13"/>
      <c r="AU122" s="13"/>
      <c r="AV122" s="13"/>
      <c r="AW122" s="13"/>
      <c r="AX122" s="13"/>
      <c r="AY122" s="13"/>
      <c r="AZ122" s="13"/>
      <c r="BA122" s="13"/>
      <c r="BB122" s="13"/>
      <c r="BC122" s="13"/>
      <c r="BD122" s="13"/>
      <c r="BE122" s="13"/>
      <c r="BF122" s="13"/>
      <c r="BG122" s="13"/>
      <c r="BH122" s="13"/>
      <c r="BI122" s="13"/>
      <c r="BJ122" s="13"/>
      <c r="BK122" s="13"/>
      <c r="BL122" s="13"/>
      <c r="BM122" s="13"/>
      <c r="BN122" s="13"/>
      <c r="BO122" s="13"/>
      <c r="BP122" s="13"/>
      <c r="BQ122" s="13"/>
      <c r="BR122" s="13"/>
      <c r="BS122" s="13"/>
      <c r="BT122" s="13"/>
      <c r="BU122" s="13"/>
      <c r="BV122" s="13"/>
      <c r="BW122" s="13"/>
      <c r="BX122" s="13"/>
      <c r="BY122" s="13"/>
      <c r="BZ122" s="13"/>
    </row>
    <row r="123" spans="7:78" s="64" customFormat="1" x14ac:dyDescent="0.35">
      <c r="G123" s="128"/>
      <c r="H123" s="128"/>
      <c r="AE123" s="13"/>
      <c r="AF123" s="13"/>
      <c r="AG123" s="13"/>
      <c r="AH123" s="13"/>
      <c r="AI123" s="13"/>
      <c r="AJ123" s="13"/>
      <c r="AK123" s="13"/>
      <c r="AL123" s="13"/>
      <c r="AM123" s="13"/>
      <c r="AN123" s="13"/>
      <c r="AO123" s="13"/>
      <c r="AP123" s="13"/>
      <c r="AQ123" s="13"/>
      <c r="AR123" s="13"/>
      <c r="AS123" s="13"/>
      <c r="AT123" s="13"/>
      <c r="AU123" s="13"/>
      <c r="AV123" s="13"/>
      <c r="AW123" s="13"/>
      <c r="AX123" s="13"/>
      <c r="AY123" s="13"/>
      <c r="AZ123" s="13"/>
      <c r="BA123" s="13"/>
      <c r="BB123" s="13"/>
      <c r="BC123" s="13"/>
      <c r="BD123" s="13"/>
      <c r="BE123" s="13"/>
      <c r="BF123" s="13"/>
      <c r="BG123" s="13"/>
      <c r="BH123" s="13"/>
      <c r="BI123" s="13"/>
      <c r="BJ123" s="13"/>
      <c r="BK123" s="13"/>
      <c r="BL123" s="13"/>
      <c r="BM123" s="13"/>
      <c r="BN123" s="13"/>
      <c r="BO123" s="13"/>
      <c r="BP123" s="13"/>
      <c r="BQ123" s="13"/>
      <c r="BR123" s="13"/>
      <c r="BS123" s="13"/>
      <c r="BT123" s="13"/>
      <c r="BU123" s="13"/>
      <c r="BV123" s="13"/>
      <c r="BW123" s="13"/>
      <c r="BX123" s="13"/>
      <c r="BY123" s="13"/>
      <c r="BZ123" s="13"/>
    </row>
    <row r="124" spans="7:78" s="64" customFormat="1" x14ac:dyDescent="0.35">
      <c r="G124" s="128"/>
      <c r="H124" s="128"/>
      <c r="AE124" s="13"/>
      <c r="AF124" s="13"/>
      <c r="AG124" s="13"/>
      <c r="AH124" s="13"/>
      <c r="AI124" s="13"/>
      <c r="AJ124" s="13"/>
      <c r="AK124" s="13"/>
      <c r="AL124" s="13"/>
      <c r="AM124" s="13"/>
      <c r="AN124" s="13"/>
      <c r="AO124" s="13"/>
      <c r="AP124" s="13"/>
      <c r="AQ124" s="13"/>
      <c r="AR124" s="13"/>
      <c r="AS124" s="13"/>
      <c r="AT124" s="13"/>
      <c r="AU124" s="13"/>
      <c r="AV124" s="13"/>
      <c r="AW124" s="13"/>
      <c r="AX124" s="13"/>
      <c r="AY124" s="13"/>
      <c r="AZ124" s="13"/>
      <c r="BA124" s="13"/>
      <c r="BB124" s="13"/>
      <c r="BC124" s="13"/>
      <c r="BD124" s="13"/>
      <c r="BE124" s="13"/>
      <c r="BF124" s="13"/>
      <c r="BG124" s="13"/>
      <c r="BH124" s="13"/>
      <c r="BI124" s="13"/>
      <c r="BJ124" s="13"/>
      <c r="BK124" s="13"/>
      <c r="BL124" s="13"/>
      <c r="BM124" s="13"/>
      <c r="BN124" s="13"/>
      <c r="BO124" s="13"/>
      <c r="BP124" s="13"/>
      <c r="BQ124" s="13"/>
      <c r="BR124" s="13"/>
      <c r="BS124" s="13"/>
      <c r="BT124" s="13"/>
      <c r="BU124" s="13"/>
      <c r="BV124" s="13"/>
      <c r="BW124" s="13"/>
      <c r="BX124" s="13"/>
      <c r="BY124" s="13"/>
      <c r="BZ124" s="13"/>
    </row>
    <row r="125" spans="7:78" s="64" customFormat="1" x14ac:dyDescent="0.35">
      <c r="G125" s="128"/>
      <c r="H125" s="128"/>
      <c r="AE125" s="13"/>
      <c r="AF125" s="13"/>
      <c r="AG125" s="13"/>
      <c r="AH125" s="13"/>
      <c r="AI125" s="13"/>
      <c r="AJ125" s="13"/>
      <c r="AK125" s="13"/>
      <c r="AL125" s="13"/>
      <c r="AM125" s="13"/>
      <c r="AN125" s="13"/>
      <c r="AO125" s="13"/>
      <c r="AP125" s="13"/>
      <c r="AQ125" s="13"/>
      <c r="AR125" s="13"/>
      <c r="AS125" s="13"/>
      <c r="AT125" s="13"/>
      <c r="AU125" s="13"/>
      <c r="AV125" s="13"/>
      <c r="AW125" s="13"/>
      <c r="AX125" s="13"/>
      <c r="AY125" s="13"/>
      <c r="AZ125" s="13"/>
      <c r="BA125" s="13"/>
      <c r="BB125" s="13"/>
      <c r="BC125" s="13"/>
      <c r="BD125" s="13"/>
      <c r="BE125" s="13"/>
      <c r="BF125" s="13"/>
      <c r="BG125" s="13"/>
      <c r="BH125" s="13"/>
      <c r="BI125" s="13"/>
      <c r="BJ125" s="13"/>
      <c r="BK125" s="13"/>
      <c r="BL125" s="13"/>
      <c r="BM125" s="13"/>
      <c r="BN125" s="13"/>
      <c r="BO125" s="13"/>
      <c r="BP125" s="13"/>
      <c r="BQ125" s="13"/>
      <c r="BR125" s="13"/>
      <c r="BS125" s="13"/>
      <c r="BT125" s="13"/>
      <c r="BU125" s="13"/>
      <c r="BV125" s="13"/>
      <c r="BW125" s="13"/>
      <c r="BX125" s="13"/>
      <c r="BY125" s="13"/>
      <c r="BZ125" s="13"/>
    </row>
    <row r="126" spans="7:78" s="64" customFormat="1" x14ac:dyDescent="0.35">
      <c r="G126" s="128"/>
      <c r="H126" s="128"/>
      <c r="AE126" s="13"/>
      <c r="AF126" s="13"/>
      <c r="AG126" s="13"/>
      <c r="AH126" s="13"/>
      <c r="AI126" s="13"/>
      <c r="AJ126" s="13"/>
      <c r="AK126" s="13"/>
      <c r="AL126" s="13"/>
      <c r="AM126" s="13"/>
      <c r="AN126" s="13"/>
      <c r="AO126" s="13"/>
      <c r="AP126" s="13"/>
      <c r="AQ126" s="13"/>
      <c r="AR126" s="13"/>
      <c r="AS126" s="13"/>
      <c r="AT126" s="13"/>
      <c r="AU126" s="13"/>
      <c r="AV126" s="13"/>
      <c r="AW126" s="13"/>
      <c r="AX126" s="13"/>
      <c r="AY126" s="13"/>
      <c r="AZ126" s="13"/>
      <c r="BA126" s="13"/>
      <c r="BB126" s="13"/>
      <c r="BC126" s="13"/>
      <c r="BD126" s="13"/>
      <c r="BE126" s="13"/>
      <c r="BF126" s="13"/>
      <c r="BG126" s="13"/>
      <c r="BH126" s="13"/>
      <c r="BI126" s="13"/>
      <c r="BJ126" s="13"/>
      <c r="BK126" s="13"/>
      <c r="BL126" s="13"/>
      <c r="BM126" s="13"/>
      <c r="BN126" s="13"/>
      <c r="BO126" s="13"/>
      <c r="BP126" s="13"/>
      <c r="BQ126" s="13"/>
      <c r="BR126" s="13"/>
      <c r="BS126" s="13"/>
      <c r="BT126" s="13"/>
      <c r="BU126" s="13"/>
      <c r="BV126" s="13"/>
      <c r="BW126" s="13"/>
      <c r="BX126" s="13"/>
      <c r="BY126" s="13"/>
      <c r="BZ126" s="13"/>
    </row>
    <row r="127" spans="7:78" s="64" customFormat="1" x14ac:dyDescent="0.35">
      <c r="G127" s="128"/>
      <c r="H127" s="128"/>
      <c r="AE127" s="13"/>
      <c r="AF127" s="13"/>
      <c r="AG127" s="13"/>
      <c r="AH127" s="13"/>
      <c r="AI127" s="13"/>
      <c r="AJ127" s="13"/>
      <c r="AK127" s="13"/>
      <c r="AL127" s="13"/>
      <c r="AM127" s="13"/>
      <c r="AN127" s="13"/>
      <c r="AO127" s="13"/>
      <c r="AP127" s="13"/>
      <c r="AQ127" s="13"/>
      <c r="AR127" s="13"/>
      <c r="AS127" s="13"/>
      <c r="AT127" s="13"/>
      <c r="AU127" s="13"/>
      <c r="AV127" s="13"/>
      <c r="AW127" s="13"/>
      <c r="AX127" s="13"/>
      <c r="AY127" s="13"/>
      <c r="AZ127" s="13"/>
      <c r="BA127" s="13"/>
      <c r="BB127" s="13"/>
      <c r="BC127" s="13"/>
      <c r="BD127" s="13"/>
      <c r="BE127" s="13"/>
      <c r="BF127" s="13"/>
      <c r="BG127" s="13"/>
      <c r="BH127" s="13"/>
      <c r="BI127" s="13"/>
      <c r="BJ127" s="13"/>
      <c r="BK127" s="13"/>
      <c r="BL127" s="13"/>
      <c r="BM127" s="13"/>
      <c r="BN127" s="13"/>
      <c r="BO127" s="13"/>
      <c r="BP127" s="13"/>
      <c r="BQ127" s="13"/>
      <c r="BR127" s="13"/>
      <c r="BS127" s="13"/>
      <c r="BT127" s="13"/>
      <c r="BU127" s="13"/>
      <c r="BV127" s="13"/>
      <c r="BW127" s="13"/>
      <c r="BX127" s="13"/>
      <c r="BY127" s="13"/>
      <c r="BZ127" s="13"/>
    </row>
    <row r="128" spans="7:78" s="64" customFormat="1" x14ac:dyDescent="0.35">
      <c r="G128" s="128"/>
      <c r="H128" s="128"/>
      <c r="AE128" s="13"/>
      <c r="AF128" s="13"/>
      <c r="AG128" s="13"/>
      <c r="AH128" s="13"/>
      <c r="AI128" s="13"/>
      <c r="AJ128" s="13"/>
      <c r="AK128" s="13"/>
      <c r="AL128" s="13"/>
      <c r="AM128" s="13"/>
      <c r="AN128" s="13"/>
      <c r="AO128" s="13"/>
      <c r="AP128" s="13"/>
      <c r="AQ128" s="13"/>
      <c r="AR128" s="13"/>
      <c r="AS128" s="13"/>
      <c r="AT128" s="13"/>
      <c r="AU128" s="13"/>
      <c r="AV128" s="13"/>
      <c r="AW128" s="13"/>
      <c r="AX128" s="13"/>
      <c r="AY128" s="13"/>
      <c r="AZ128" s="13"/>
      <c r="BA128" s="13"/>
      <c r="BB128" s="13"/>
      <c r="BC128" s="13"/>
      <c r="BD128" s="13"/>
      <c r="BE128" s="13"/>
      <c r="BF128" s="13"/>
      <c r="BG128" s="13"/>
      <c r="BH128" s="13"/>
      <c r="BI128" s="13"/>
      <c r="BJ128" s="13"/>
      <c r="BK128" s="13"/>
      <c r="BL128" s="13"/>
      <c r="BM128" s="13"/>
      <c r="BN128" s="13"/>
      <c r="BO128" s="13"/>
      <c r="BP128" s="13"/>
      <c r="BQ128" s="13"/>
      <c r="BR128" s="13"/>
      <c r="BS128" s="13"/>
      <c r="BT128" s="13"/>
      <c r="BU128" s="13"/>
      <c r="BV128" s="13"/>
      <c r="BW128" s="13"/>
      <c r="BX128" s="13"/>
      <c r="BY128" s="13"/>
      <c r="BZ128" s="13"/>
    </row>
    <row r="129" spans="7:78" s="64" customFormat="1" x14ac:dyDescent="0.35">
      <c r="G129" s="128"/>
      <c r="H129" s="128"/>
      <c r="AE129" s="13"/>
      <c r="AF129" s="13"/>
      <c r="AG129" s="13"/>
      <c r="AH129" s="13"/>
      <c r="AI129" s="13"/>
      <c r="AJ129" s="13"/>
      <c r="AK129" s="13"/>
      <c r="AL129" s="13"/>
      <c r="AM129" s="13"/>
      <c r="AN129" s="13"/>
      <c r="AO129" s="13"/>
      <c r="AP129" s="13"/>
      <c r="AQ129" s="13"/>
      <c r="AR129" s="13"/>
      <c r="AS129" s="13"/>
      <c r="AT129" s="13"/>
      <c r="AU129" s="13"/>
      <c r="AV129" s="13"/>
      <c r="AW129" s="13"/>
      <c r="AX129" s="13"/>
      <c r="AY129" s="13"/>
      <c r="AZ129" s="13"/>
      <c r="BA129" s="13"/>
      <c r="BB129" s="13"/>
      <c r="BC129" s="13"/>
      <c r="BD129" s="13"/>
      <c r="BE129" s="13"/>
      <c r="BF129" s="13"/>
      <c r="BG129" s="13"/>
      <c r="BH129" s="13"/>
      <c r="BI129" s="13"/>
      <c r="BJ129" s="13"/>
      <c r="BK129" s="13"/>
      <c r="BL129" s="13"/>
      <c r="BM129" s="13"/>
      <c r="BN129" s="13"/>
      <c r="BO129" s="13"/>
      <c r="BP129" s="13"/>
      <c r="BQ129" s="13"/>
      <c r="BR129" s="13"/>
      <c r="BS129" s="13"/>
      <c r="BT129" s="13"/>
      <c r="BU129" s="13"/>
      <c r="BV129" s="13"/>
      <c r="BW129" s="13"/>
      <c r="BX129" s="13"/>
      <c r="BY129" s="13"/>
      <c r="BZ129" s="13"/>
    </row>
    <row r="130" spans="7:78" s="64" customFormat="1" x14ac:dyDescent="0.35">
      <c r="G130" s="128"/>
      <c r="H130" s="128"/>
      <c r="AE130" s="13"/>
      <c r="AF130" s="13"/>
      <c r="AG130" s="13"/>
      <c r="AH130" s="13"/>
      <c r="AI130" s="13"/>
      <c r="AJ130" s="13"/>
      <c r="AK130" s="13"/>
      <c r="AL130" s="13"/>
      <c r="AM130" s="13"/>
      <c r="AN130" s="13"/>
      <c r="AO130" s="13"/>
      <c r="AP130" s="13"/>
      <c r="AQ130" s="13"/>
      <c r="AR130" s="13"/>
      <c r="AS130" s="13"/>
      <c r="AT130" s="13"/>
      <c r="AU130" s="13"/>
      <c r="AV130" s="13"/>
      <c r="AW130" s="13"/>
      <c r="AX130" s="13"/>
      <c r="AY130" s="13"/>
      <c r="AZ130" s="13"/>
      <c r="BA130" s="13"/>
      <c r="BB130" s="13"/>
      <c r="BC130" s="13"/>
      <c r="BD130" s="13"/>
      <c r="BE130" s="13"/>
      <c r="BF130" s="13"/>
      <c r="BG130" s="13"/>
      <c r="BH130" s="13"/>
      <c r="BI130" s="13"/>
      <c r="BJ130" s="13"/>
      <c r="BK130" s="13"/>
      <c r="BL130" s="13"/>
      <c r="BM130" s="13"/>
      <c r="BN130" s="13"/>
      <c r="BO130" s="13"/>
      <c r="BP130" s="13"/>
      <c r="BQ130" s="13"/>
      <c r="BR130" s="13"/>
      <c r="BS130" s="13"/>
      <c r="BT130" s="13"/>
      <c r="BU130" s="13"/>
      <c r="BV130" s="13"/>
      <c r="BW130" s="13"/>
      <c r="BX130" s="13"/>
      <c r="BY130" s="13"/>
      <c r="BZ130" s="13"/>
    </row>
    <row r="131" spans="7:78" s="64" customFormat="1" x14ac:dyDescent="0.35">
      <c r="G131" s="128"/>
      <c r="H131" s="128"/>
      <c r="AE131" s="13"/>
      <c r="AF131" s="13"/>
      <c r="AG131" s="13"/>
      <c r="AH131" s="13"/>
      <c r="AI131" s="13"/>
      <c r="AJ131" s="13"/>
      <c r="AK131" s="13"/>
      <c r="AL131" s="13"/>
      <c r="AM131" s="13"/>
      <c r="AN131" s="13"/>
      <c r="AO131" s="13"/>
      <c r="AP131" s="13"/>
      <c r="AQ131" s="13"/>
      <c r="AR131" s="13"/>
      <c r="AS131" s="13"/>
      <c r="AT131" s="13"/>
      <c r="AU131" s="13"/>
      <c r="AV131" s="13"/>
      <c r="AW131" s="13"/>
      <c r="AX131" s="13"/>
      <c r="AY131" s="13"/>
      <c r="AZ131" s="13"/>
      <c r="BA131" s="13"/>
      <c r="BB131" s="13"/>
      <c r="BC131" s="13"/>
      <c r="BD131" s="13"/>
      <c r="BE131" s="13"/>
      <c r="BF131" s="13"/>
      <c r="BG131" s="13"/>
      <c r="BH131" s="13"/>
      <c r="BI131" s="13"/>
      <c r="BJ131" s="13"/>
      <c r="BK131" s="13"/>
      <c r="BL131" s="13"/>
      <c r="BM131" s="13"/>
      <c r="BN131" s="13"/>
      <c r="BO131" s="13"/>
      <c r="BP131" s="13"/>
      <c r="BQ131" s="13"/>
      <c r="BR131" s="13"/>
      <c r="BS131" s="13"/>
      <c r="BT131" s="13"/>
      <c r="BU131" s="13"/>
      <c r="BV131" s="13"/>
      <c r="BW131" s="13"/>
      <c r="BX131" s="13"/>
      <c r="BY131" s="13"/>
      <c r="BZ131" s="13"/>
    </row>
    <row r="132" spans="7:78" s="64" customFormat="1" x14ac:dyDescent="0.35">
      <c r="G132" s="128"/>
      <c r="H132" s="128"/>
      <c r="AE132" s="13"/>
      <c r="AF132" s="13"/>
      <c r="AG132" s="13"/>
      <c r="AH132" s="13"/>
      <c r="AI132" s="13"/>
      <c r="AJ132" s="13"/>
      <c r="AK132" s="13"/>
      <c r="AL132" s="13"/>
      <c r="AM132" s="13"/>
      <c r="AN132" s="13"/>
      <c r="AO132" s="13"/>
      <c r="AP132" s="13"/>
      <c r="AQ132" s="13"/>
      <c r="AR132" s="13"/>
      <c r="AS132" s="13"/>
      <c r="AT132" s="13"/>
      <c r="AU132" s="13"/>
      <c r="AV132" s="13"/>
      <c r="AW132" s="13"/>
      <c r="AX132" s="13"/>
      <c r="AY132" s="13"/>
      <c r="AZ132" s="13"/>
      <c r="BA132" s="13"/>
      <c r="BB132" s="13"/>
      <c r="BC132" s="13"/>
      <c r="BD132" s="13"/>
      <c r="BE132" s="13"/>
      <c r="BF132" s="13"/>
      <c r="BG132" s="13"/>
      <c r="BH132" s="13"/>
      <c r="BI132" s="13"/>
      <c r="BJ132" s="13"/>
      <c r="BK132" s="13"/>
      <c r="BL132" s="13"/>
      <c r="BM132" s="13"/>
      <c r="BN132" s="13"/>
      <c r="BO132" s="13"/>
      <c r="BP132" s="13"/>
      <c r="BQ132" s="13"/>
      <c r="BR132" s="13"/>
      <c r="BS132" s="13"/>
      <c r="BT132" s="13"/>
      <c r="BU132" s="13"/>
      <c r="BV132" s="13"/>
      <c r="BW132" s="13"/>
      <c r="BX132" s="13"/>
      <c r="BY132" s="13"/>
      <c r="BZ132" s="13"/>
    </row>
    <row r="133" spans="7:78" s="64" customFormat="1" x14ac:dyDescent="0.35">
      <c r="G133" s="128"/>
      <c r="H133" s="128"/>
      <c r="AE133" s="13"/>
      <c r="AF133" s="13"/>
      <c r="AG133" s="13"/>
      <c r="AH133" s="13"/>
      <c r="AI133" s="13"/>
      <c r="AJ133" s="13"/>
      <c r="AK133" s="13"/>
      <c r="AL133" s="13"/>
      <c r="AM133" s="13"/>
      <c r="AN133" s="13"/>
      <c r="AO133" s="13"/>
      <c r="AP133" s="13"/>
      <c r="AQ133" s="13"/>
      <c r="AR133" s="13"/>
      <c r="AS133" s="13"/>
      <c r="AT133" s="13"/>
      <c r="AU133" s="13"/>
      <c r="AV133" s="13"/>
      <c r="AW133" s="13"/>
      <c r="AX133" s="13"/>
      <c r="AY133" s="13"/>
      <c r="AZ133" s="13"/>
      <c r="BA133" s="13"/>
      <c r="BB133" s="13"/>
      <c r="BC133" s="13"/>
      <c r="BD133" s="13"/>
      <c r="BE133" s="13"/>
      <c r="BF133" s="13"/>
      <c r="BG133" s="13"/>
      <c r="BH133" s="13"/>
      <c r="BI133" s="13"/>
      <c r="BJ133" s="13"/>
      <c r="BK133" s="13"/>
      <c r="BL133" s="13"/>
      <c r="BM133" s="13"/>
      <c r="BN133" s="13"/>
      <c r="BO133" s="13"/>
      <c r="BP133" s="13"/>
      <c r="BQ133" s="13"/>
      <c r="BR133" s="13"/>
      <c r="BS133" s="13"/>
      <c r="BT133" s="13"/>
      <c r="BU133" s="13"/>
      <c r="BV133" s="13"/>
      <c r="BW133" s="13"/>
      <c r="BX133" s="13"/>
      <c r="BY133" s="13"/>
      <c r="BZ133" s="13"/>
    </row>
    <row r="134" spans="7:78" s="64" customFormat="1" x14ac:dyDescent="0.35">
      <c r="G134" s="128"/>
      <c r="H134" s="128"/>
      <c r="AE134" s="13"/>
      <c r="AF134" s="13"/>
      <c r="AG134" s="13"/>
      <c r="AH134" s="13"/>
      <c r="AI134" s="13"/>
      <c r="AJ134" s="13"/>
      <c r="AK134" s="13"/>
      <c r="AL134" s="13"/>
      <c r="AM134" s="13"/>
      <c r="AN134" s="13"/>
      <c r="AO134" s="13"/>
      <c r="AP134" s="13"/>
      <c r="AQ134" s="13"/>
      <c r="AR134" s="13"/>
      <c r="AS134" s="13"/>
      <c r="AT134" s="13"/>
      <c r="AU134" s="13"/>
      <c r="AV134" s="13"/>
      <c r="AW134" s="13"/>
      <c r="AX134" s="13"/>
      <c r="AY134" s="13"/>
      <c r="AZ134" s="13"/>
      <c r="BA134" s="13"/>
      <c r="BB134" s="13"/>
      <c r="BC134" s="13"/>
      <c r="BD134" s="13"/>
      <c r="BE134" s="13"/>
      <c r="BF134" s="13"/>
      <c r="BG134" s="13"/>
      <c r="BH134" s="13"/>
      <c r="BI134" s="13"/>
      <c r="BJ134" s="13"/>
      <c r="BK134" s="13"/>
      <c r="BL134" s="13"/>
      <c r="BM134" s="13"/>
      <c r="BN134" s="13"/>
      <c r="BO134" s="13"/>
      <c r="BP134" s="13"/>
      <c r="BQ134" s="13"/>
      <c r="BR134" s="13"/>
      <c r="BS134" s="13"/>
      <c r="BT134" s="13"/>
      <c r="BU134" s="13"/>
      <c r="BV134" s="13"/>
      <c r="BW134" s="13"/>
      <c r="BX134" s="13"/>
      <c r="BY134" s="13"/>
      <c r="BZ134" s="13"/>
    </row>
    <row r="135" spans="7:78" s="64" customFormat="1" x14ac:dyDescent="0.35">
      <c r="G135" s="128"/>
      <c r="H135" s="128"/>
      <c r="AE135" s="13"/>
      <c r="AF135" s="13"/>
      <c r="AG135" s="13"/>
      <c r="AH135" s="13"/>
      <c r="AI135" s="13"/>
      <c r="AJ135" s="13"/>
      <c r="AK135" s="13"/>
      <c r="AL135" s="13"/>
      <c r="AM135" s="13"/>
      <c r="AN135" s="13"/>
      <c r="AO135" s="13"/>
      <c r="AP135" s="13"/>
      <c r="AQ135" s="13"/>
      <c r="AR135" s="13"/>
      <c r="AS135" s="13"/>
      <c r="AT135" s="13"/>
      <c r="AU135" s="13"/>
      <c r="AV135" s="13"/>
      <c r="AW135" s="13"/>
      <c r="AX135" s="13"/>
      <c r="AY135" s="13"/>
      <c r="AZ135" s="13"/>
      <c r="BA135" s="13"/>
      <c r="BB135" s="13"/>
      <c r="BC135" s="13"/>
      <c r="BD135" s="13"/>
      <c r="BE135" s="13"/>
      <c r="BF135" s="13"/>
      <c r="BG135" s="13"/>
      <c r="BH135" s="13"/>
      <c r="BI135" s="13"/>
      <c r="BJ135" s="13"/>
      <c r="BK135" s="13"/>
      <c r="BL135" s="13"/>
      <c r="BM135" s="13"/>
      <c r="BN135" s="13"/>
      <c r="BO135" s="13"/>
      <c r="BP135" s="13"/>
      <c r="BQ135" s="13"/>
      <c r="BR135" s="13"/>
      <c r="BS135" s="13"/>
      <c r="BT135" s="13"/>
      <c r="BU135" s="13"/>
      <c r="BV135" s="13"/>
      <c r="BW135" s="13"/>
      <c r="BX135" s="13"/>
      <c r="BY135" s="13"/>
      <c r="BZ135" s="13"/>
    </row>
    <row r="136" spans="7:78" s="64" customFormat="1" x14ac:dyDescent="0.35">
      <c r="G136" s="128"/>
      <c r="H136" s="128"/>
      <c r="AE136" s="13"/>
      <c r="AF136" s="13"/>
      <c r="AG136" s="13"/>
      <c r="AH136" s="13"/>
      <c r="AI136" s="13"/>
      <c r="AJ136" s="13"/>
      <c r="AK136" s="13"/>
      <c r="AL136" s="13"/>
      <c r="AM136" s="13"/>
      <c r="AN136" s="13"/>
      <c r="AO136" s="13"/>
      <c r="AP136" s="13"/>
      <c r="AQ136" s="13"/>
      <c r="AR136" s="13"/>
      <c r="AS136" s="13"/>
      <c r="AT136" s="13"/>
      <c r="AU136" s="13"/>
      <c r="AV136" s="13"/>
      <c r="AW136" s="13"/>
      <c r="AX136" s="13"/>
      <c r="AY136" s="13"/>
      <c r="AZ136" s="13"/>
      <c r="BA136" s="13"/>
      <c r="BB136" s="13"/>
      <c r="BC136" s="13"/>
      <c r="BD136" s="13"/>
      <c r="BE136" s="13"/>
      <c r="BF136" s="13"/>
      <c r="BG136" s="13"/>
      <c r="BH136" s="13"/>
      <c r="BI136" s="13"/>
      <c r="BJ136" s="13"/>
      <c r="BK136" s="13"/>
      <c r="BL136" s="13"/>
      <c r="BM136" s="13"/>
      <c r="BN136" s="13"/>
      <c r="BO136" s="13"/>
      <c r="BP136" s="13"/>
      <c r="BQ136" s="13"/>
      <c r="BR136" s="13"/>
      <c r="BS136" s="13"/>
      <c r="BT136" s="13"/>
      <c r="BU136" s="13"/>
      <c r="BV136" s="13"/>
      <c r="BW136" s="13"/>
      <c r="BX136" s="13"/>
      <c r="BY136" s="13"/>
      <c r="BZ136" s="13"/>
    </row>
    <row r="137" spans="7:78" s="64" customFormat="1" x14ac:dyDescent="0.35">
      <c r="G137" s="128"/>
      <c r="H137" s="128"/>
      <c r="AE137" s="13"/>
      <c r="AF137" s="13"/>
      <c r="AG137" s="13"/>
      <c r="AH137" s="13"/>
      <c r="AI137" s="13"/>
      <c r="AJ137" s="13"/>
      <c r="AK137" s="13"/>
      <c r="AL137" s="13"/>
      <c r="AM137" s="13"/>
      <c r="AN137" s="13"/>
      <c r="AO137" s="13"/>
      <c r="AP137" s="13"/>
      <c r="AQ137" s="13"/>
      <c r="AR137" s="13"/>
      <c r="AS137" s="13"/>
      <c r="AT137" s="13"/>
      <c r="AU137" s="13"/>
      <c r="AV137" s="13"/>
      <c r="AW137" s="13"/>
      <c r="AX137" s="13"/>
      <c r="AY137" s="13"/>
      <c r="AZ137" s="13"/>
      <c r="BA137" s="13"/>
      <c r="BB137" s="13"/>
      <c r="BC137" s="13"/>
      <c r="BD137" s="13"/>
      <c r="BE137" s="13"/>
      <c r="BF137" s="13"/>
      <c r="BG137" s="13"/>
      <c r="BH137" s="13"/>
      <c r="BI137" s="13"/>
      <c r="BJ137" s="13"/>
      <c r="BK137" s="13"/>
      <c r="BL137" s="13"/>
      <c r="BM137" s="13"/>
      <c r="BN137" s="13"/>
      <c r="BO137" s="13"/>
      <c r="BP137" s="13"/>
      <c r="BQ137" s="13"/>
      <c r="BR137" s="13"/>
      <c r="BS137" s="13"/>
      <c r="BT137" s="13"/>
      <c r="BU137" s="13"/>
      <c r="BV137" s="13"/>
      <c r="BW137" s="13"/>
      <c r="BX137" s="13"/>
      <c r="BY137" s="13"/>
      <c r="BZ137" s="13"/>
    </row>
    <row r="138" spans="7:78" s="64" customFormat="1" x14ac:dyDescent="0.35">
      <c r="G138" s="128"/>
      <c r="H138" s="128"/>
      <c r="AE138" s="13"/>
      <c r="AF138" s="13"/>
      <c r="AG138" s="13"/>
      <c r="AH138" s="13"/>
      <c r="AI138" s="13"/>
      <c r="AJ138" s="13"/>
      <c r="AK138" s="13"/>
      <c r="AL138" s="13"/>
      <c r="AM138" s="13"/>
      <c r="AN138" s="13"/>
      <c r="AO138" s="13"/>
      <c r="AP138" s="13"/>
      <c r="AQ138" s="13"/>
      <c r="AR138" s="13"/>
      <c r="AS138" s="13"/>
      <c r="AT138" s="13"/>
      <c r="AU138" s="13"/>
      <c r="AV138" s="13"/>
      <c r="AW138" s="13"/>
      <c r="AX138" s="13"/>
      <c r="AY138" s="13"/>
      <c r="AZ138" s="13"/>
      <c r="BA138" s="13"/>
      <c r="BB138" s="13"/>
      <c r="BC138" s="13"/>
      <c r="BD138" s="13"/>
      <c r="BE138" s="13"/>
      <c r="BF138" s="13"/>
      <c r="BG138" s="13"/>
      <c r="BH138" s="13"/>
      <c r="BI138" s="13"/>
      <c r="BJ138" s="13"/>
      <c r="BK138" s="13"/>
      <c r="BL138" s="13"/>
      <c r="BM138" s="13"/>
      <c r="BN138" s="13"/>
      <c r="BO138" s="13"/>
      <c r="BP138" s="13"/>
      <c r="BQ138" s="13"/>
      <c r="BR138" s="13"/>
      <c r="BS138" s="13"/>
      <c r="BT138" s="13"/>
      <c r="BU138" s="13"/>
      <c r="BV138" s="13"/>
      <c r="BW138" s="13"/>
      <c r="BX138" s="13"/>
      <c r="BY138" s="13"/>
      <c r="BZ138" s="13"/>
    </row>
    <row r="139" spans="7:78" s="64" customFormat="1" x14ac:dyDescent="0.35">
      <c r="G139" s="128"/>
      <c r="H139" s="128"/>
      <c r="AE139" s="13"/>
      <c r="AF139" s="13"/>
      <c r="AG139" s="13"/>
      <c r="AH139" s="13"/>
      <c r="AI139" s="13"/>
      <c r="AJ139" s="13"/>
      <c r="AK139" s="13"/>
      <c r="AL139" s="13"/>
      <c r="AM139" s="13"/>
      <c r="AN139" s="13"/>
      <c r="AO139" s="13"/>
      <c r="AP139" s="13"/>
      <c r="AQ139" s="13"/>
      <c r="AR139" s="13"/>
      <c r="AS139" s="13"/>
      <c r="AT139" s="13"/>
      <c r="AU139" s="13"/>
      <c r="AV139" s="13"/>
      <c r="AW139" s="13"/>
      <c r="AX139" s="13"/>
      <c r="AY139" s="13"/>
      <c r="AZ139" s="13"/>
      <c r="BA139" s="13"/>
      <c r="BB139" s="13"/>
      <c r="BC139" s="13"/>
      <c r="BD139" s="13"/>
      <c r="BE139" s="13"/>
      <c r="BF139" s="13"/>
      <c r="BG139" s="13"/>
      <c r="BH139" s="13"/>
      <c r="BI139" s="13"/>
      <c r="BJ139" s="13"/>
      <c r="BK139" s="13"/>
      <c r="BL139" s="13"/>
      <c r="BM139" s="13"/>
      <c r="BN139" s="13"/>
      <c r="BO139" s="13"/>
      <c r="BP139" s="13"/>
      <c r="BQ139" s="13"/>
      <c r="BR139" s="13"/>
      <c r="BS139" s="13"/>
      <c r="BT139" s="13"/>
      <c r="BU139" s="13"/>
      <c r="BV139" s="13"/>
      <c r="BW139" s="13"/>
      <c r="BX139" s="13"/>
      <c r="BY139" s="13"/>
      <c r="BZ139" s="13"/>
    </row>
    <row r="140" spans="7:78" s="64" customFormat="1" x14ac:dyDescent="0.35">
      <c r="G140" s="128"/>
      <c r="H140" s="128"/>
      <c r="AE140" s="13"/>
      <c r="AF140" s="13"/>
      <c r="AG140" s="13"/>
      <c r="AH140" s="13"/>
      <c r="AI140" s="13"/>
      <c r="AJ140" s="13"/>
      <c r="AK140" s="13"/>
      <c r="AL140" s="13"/>
      <c r="AM140" s="13"/>
      <c r="AN140" s="13"/>
      <c r="AO140" s="13"/>
      <c r="AP140" s="13"/>
      <c r="AQ140" s="13"/>
      <c r="AR140" s="13"/>
      <c r="AS140" s="13"/>
      <c r="AT140" s="13"/>
      <c r="AU140" s="13"/>
      <c r="AV140" s="13"/>
      <c r="AW140" s="13"/>
      <c r="AX140" s="13"/>
      <c r="AY140" s="13"/>
      <c r="AZ140" s="13"/>
      <c r="BA140" s="13"/>
      <c r="BB140" s="13"/>
      <c r="BC140" s="13"/>
      <c r="BD140" s="13"/>
      <c r="BE140" s="13"/>
      <c r="BF140" s="13"/>
      <c r="BG140" s="13"/>
      <c r="BH140" s="13"/>
      <c r="BI140" s="13"/>
      <c r="BJ140" s="13"/>
      <c r="BK140" s="13"/>
      <c r="BL140" s="13"/>
      <c r="BM140" s="13"/>
      <c r="BN140" s="13"/>
      <c r="BO140" s="13"/>
      <c r="BP140" s="13"/>
      <c r="BQ140" s="13"/>
      <c r="BR140" s="13"/>
      <c r="BS140" s="13"/>
      <c r="BT140" s="13"/>
      <c r="BU140" s="13"/>
      <c r="BV140" s="13"/>
      <c r="BW140" s="13"/>
      <c r="BX140" s="13"/>
      <c r="BY140" s="13"/>
      <c r="BZ140" s="13"/>
    </row>
    <row r="141" spans="7:78" s="64" customFormat="1" x14ac:dyDescent="0.35">
      <c r="G141" s="128"/>
      <c r="H141" s="128"/>
      <c r="AE141" s="13"/>
      <c r="AF141" s="13"/>
      <c r="AG141" s="13"/>
      <c r="AH141" s="13"/>
      <c r="AI141" s="13"/>
      <c r="AJ141" s="13"/>
      <c r="AK141" s="13"/>
      <c r="AL141" s="13"/>
      <c r="AM141" s="13"/>
      <c r="AN141" s="13"/>
      <c r="AO141" s="13"/>
      <c r="AP141" s="13"/>
      <c r="AQ141" s="13"/>
      <c r="AR141" s="13"/>
      <c r="AS141" s="13"/>
      <c r="AT141" s="13"/>
      <c r="AU141" s="13"/>
      <c r="AV141" s="13"/>
      <c r="AW141" s="13"/>
      <c r="AX141" s="13"/>
      <c r="AY141" s="13"/>
      <c r="AZ141" s="13"/>
      <c r="BA141" s="13"/>
      <c r="BB141" s="13"/>
      <c r="BC141" s="13"/>
      <c r="BD141" s="13"/>
      <c r="BE141" s="13"/>
      <c r="BF141" s="13"/>
      <c r="BG141" s="13"/>
      <c r="BH141" s="13"/>
      <c r="BI141" s="13"/>
      <c r="BJ141" s="13"/>
      <c r="BK141" s="13"/>
      <c r="BL141" s="13"/>
      <c r="BM141" s="13"/>
      <c r="BN141" s="13"/>
      <c r="BO141" s="13"/>
      <c r="BP141" s="13"/>
      <c r="BQ141" s="13"/>
      <c r="BR141" s="13"/>
      <c r="BS141" s="13"/>
      <c r="BT141" s="13"/>
      <c r="BU141" s="13"/>
      <c r="BV141" s="13"/>
      <c r="BW141" s="13"/>
      <c r="BX141" s="13"/>
      <c r="BY141" s="13"/>
      <c r="BZ141" s="13"/>
    </row>
    <row r="142" spans="7:78" s="64" customFormat="1" x14ac:dyDescent="0.35">
      <c r="G142" s="128"/>
      <c r="H142" s="128"/>
      <c r="AE142" s="13"/>
      <c r="AF142" s="13"/>
      <c r="AG142" s="13"/>
      <c r="AH142" s="13"/>
      <c r="AI142" s="13"/>
      <c r="AJ142" s="13"/>
      <c r="AK142" s="13"/>
      <c r="AL142" s="13"/>
      <c r="AM142" s="13"/>
      <c r="AN142" s="13"/>
      <c r="AO142" s="13"/>
      <c r="AP142" s="13"/>
      <c r="AQ142" s="13"/>
      <c r="AR142" s="13"/>
      <c r="AS142" s="13"/>
      <c r="AT142" s="13"/>
      <c r="AU142" s="13"/>
      <c r="AV142" s="13"/>
      <c r="AW142" s="13"/>
      <c r="AX142" s="13"/>
      <c r="AY142" s="13"/>
      <c r="AZ142" s="13"/>
      <c r="BA142" s="13"/>
      <c r="BB142" s="13"/>
      <c r="BC142" s="13"/>
      <c r="BD142" s="13"/>
      <c r="BE142" s="13"/>
      <c r="BF142" s="13"/>
      <c r="BG142" s="13"/>
      <c r="BH142" s="13"/>
      <c r="BI142" s="13"/>
      <c r="BJ142" s="13"/>
      <c r="BK142" s="13"/>
      <c r="BL142" s="13"/>
      <c r="BM142" s="13"/>
      <c r="BN142" s="13"/>
      <c r="BO142" s="13"/>
      <c r="BP142" s="13"/>
      <c r="BQ142" s="13"/>
      <c r="BR142" s="13"/>
      <c r="BS142" s="13"/>
      <c r="BT142" s="13"/>
      <c r="BU142" s="13"/>
      <c r="BV142" s="13"/>
      <c r="BW142" s="13"/>
      <c r="BX142" s="13"/>
      <c r="BY142" s="13"/>
      <c r="BZ142" s="13"/>
    </row>
    <row r="143" spans="7:78" s="64" customFormat="1" x14ac:dyDescent="0.35">
      <c r="G143" s="128"/>
      <c r="H143" s="128"/>
      <c r="AE143" s="13"/>
      <c r="AF143" s="13"/>
      <c r="AG143" s="13"/>
      <c r="AH143" s="13"/>
      <c r="AI143" s="13"/>
      <c r="AJ143" s="13"/>
      <c r="AK143" s="13"/>
      <c r="AL143" s="13"/>
      <c r="AM143" s="13"/>
      <c r="AN143" s="13"/>
      <c r="AO143" s="13"/>
      <c r="AP143" s="13"/>
      <c r="AQ143" s="13"/>
      <c r="AR143" s="13"/>
      <c r="AS143" s="13"/>
      <c r="AT143" s="13"/>
      <c r="AU143" s="13"/>
      <c r="AV143" s="13"/>
      <c r="AW143" s="13"/>
      <c r="AX143" s="13"/>
      <c r="AY143" s="13"/>
      <c r="AZ143" s="13"/>
      <c r="BA143" s="13"/>
      <c r="BB143" s="13"/>
      <c r="BC143" s="13"/>
      <c r="BD143" s="13"/>
      <c r="BE143" s="13"/>
      <c r="BF143" s="13"/>
      <c r="BG143" s="13"/>
      <c r="BH143" s="13"/>
      <c r="BI143" s="13"/>
      <c r="BJ143" s="13"/>
      <c r="BK143" s="13"/>
      <c r="BL143" s="13"/>
      <c r="BM143" s="13"/>
      <c r="BN143" s="13"/>
      <c r="BO143" s="13"/>
      <c r="BP143" s="13"/>
      <c r="BQ143" s="13"/>
      <c r="BR143" s="13"/>
      <c r="BS143" s="13"/>
      <c r="BT143" s="13"/>
      <c r="BU143" s="13"/>
      <c r="BV143" s="13"/>
      <c r="BW143" s="13"/>
      <c r="BX143" s="13"/>
      <c r="BY143" s="13"/>
      <c r="BZ143" s="13"/>
    </row>
    <row r="144" spans="7:78" s="64" customFormat="1" x14ac:dyDescent="0.35">
      <c r="G144" s="128"/>
      <c r="H144" s="128"/>
      <c r="AE144" s="13"/>
      <c r="AF144" s="13"/>
      <c r="AG144" s="13"/>
      <c r="AH144" s="13"/>
      <c r="AI144" s="13"/>
      <c r="AJ144" s="13"/>
      <c r="AK144" s="13"/>
      <c r="AL144" s="13"/>
      <c r="AM144" s="13"/>
      <c r="AN144" s="13"/>
      <c r="AO144" s="13"/>
      <c r="AP144" s="13"/>
      <c r="AQ144" s="13"/>
      <c r="AR144" s="13"/>
      <c r="AS144" s="13"/>
      <c r="AT144" s="13"/>
      <c r="AU144" s="13"/>
      <c r="AV144" s="13"/>
      <c r="AW144" s="13"/>
      <c r="AX144" s="13"/>
      <c r="AY144" s="13"/>
      <c r="AZ144" s="13"/>
      <c r="BA144" s="13"/>
      <c r="BB144" s="13"/>
      <c r="BC144" s="13"/>
      <c r="BD144" s="13"/>
      <c r="BE144" s="13"/>
      <c r="BF144" s="13"/>
      <c r="BG144" s="13"/>
      <c r="BH144" s="13"/>
      <c r="BI144" s="13"/>
      <c r="BJ144" s="13"/>
      <c r="BK144" s="13"/>
      <c r="BL144" s="13"/>
      <c r="BM144" s="13"/>
      <c r="BN144" s="13"/>
      <c r="BO144" s="13"/>
      <c r="BP144" s="13"/>
      <c r="BQ144" s="13"/>
      <c r="BR144" s="13"/>
      <c r="BS144" s="13"/>
      <c r="BT144" s="13"/>
      <c r="BU144" s="13"/>
      <c r="BV144" s="13"/>
      <c r="BW144" s="13"/>
      <c r="BX144" s="13"/>
      <c r="BY144" s="13"/>
      <c r="BZ144" s="13"/>
    </row>
    <row r="145" spans="1:78" s="64" customFormat="1" x14ac:dyDescent="0.35">
      <c r="G145" s="128"/>
      <c r="H145" s="128"/>
      <c r="AE145" s="13"/>
      <c r="AF145" s="13"/>
      <c r="AG145" s="13"/>
      <c r="AH145" s="13"/>
      <c r="AI145" s="13"/>
      <c r="AJ145" s="13"/>
      <c r="AK145" s="13"/>
      <c r="AL145" s="13"/>
      <c r="AM145" s="13"/>
      <c r="AN145" s="13"/>
      <c r="AO145" s="13"/>
      <c r="AP145" s="13"/>
      <c r="AQ145" s="13"/>
      <c r="AR145" s="13"/>
      <c r="AS145" s="13"/>
      <c r="AT145" s="13"/>
      <c r="AU145" s="13"/>
      <c r="AV145" s="13"/>
      <c r="AW145" s="13"/>
      <c r="AX145" s="13"/>
      <c r="AY145" s="13"/>
      <c r="AZ145" s="13"/>
      <c r="BA145" s="13"/>
      <c r="BB145" s="13"/>
      <c r="BC145" s="13"/>
      <c r="BD145" s="13"/>
      <c r="BE145" s="13"/>
      <c r="BF145" s="13"/>
      <c r="BG145" s="13"/>
      <c r="BH145" s="13"/>
      <c r="BI145" s="13"/>
      <c r="BJ145" s="13"/>
      <c r="BK145" s="13"/>
      <c r="BL145" s="13"/>
      <c r="BM145" s="13"/>
      <c r="BN145" s="13"/>
      <c r="BO145" s="13"/>
      <c r="BP145" s="13"/>
      <c r="BQ145" s="13"/>
      <c r="BR145" s="13"/>
      <c r="BS145" s="13"/>
      <c r="BT145" s="13"/>
      <c r="BU145" s="13"/>
      <c r="BV145" s="13"/>
      <c r="BW145" s="13"/>
      <c r="BX145" s="13"/>
      <c r="BY145" s="13"/>
      <c r="BZ145" s="13"/>
    </row>
    <row r="146" spans="1:78" s="64" customFormat="1" x14ac:dyDescent="0.35">
      <c r="G146" s="128"/>
      <c r="H146" s="128"/>
      <c r="AE146" s="13"/>
      <c r="AF146" s="13"/>
      <c r="AG146" s="13"/>
      <c r="AH146" s="13"/>
      <c r="AI146" s="13"/>
      <c r="AJ146" s="13"/>
      <c r="AK146" s="13"/>
      <c r="AL146" s="13"/>
      <c r="AM146" s="13"/>
      <c r="AN146" s="13"/>
      <c r="AO146" s="13"/>
      <c r="AP146" s="13"/>
      <c r="AQ146" s="13"/>
      <c r="AR146" s="13"/>
      <c r="AS146" s="13"/>
      <c r="AT146" s="13"/>
      <c r="AU146" s="13"/>
      <c r="AV146" s="13"/>
      <c r="AW146" s="13"/>
      <c r="AX146" s="13"/>
      <c r="AY146" s="13"/>
      <c r="AZ146" s="13"/>
      <c r="BA146" s="13"/>
      <c r="BB146" s="13"/>
      <c r="BC146" s="13"/>
      <c r="BD146" s="13"/>
      <c r="BE146" s="13"/>
      <c r="BF146" s="13"/>
      <c r="BG146" s="13"/>
      <c r="BH146" s="13"/>
      <c r="BI146" s="13"/>
      <c r="BJ146" s="13"/>
      <c r="BK146" s="13"/>
      <c r="BL146" s="13"/>
      <c r="BM146" s="13"/>
      <c r="BN146" s="13"/>
      <c r="BO146" s="13"/>
      <c r="BP146" s="13"/>
      <c r="BQ146" s="13"/>
      <c r="BR146" s="13"/>
      <c r="BS146" s="13"/>
      <c r="BT146" s="13"/>
      <c r="BU146" s="13"/>
      <c r="BV146" s="13"/>
      <c r="BW146" s="13"/>
      <c r="BX146" s="13"/>
      <c r="BY146" s="13"/>
      <c r="BZ146" s="13"/>
    </row>
    <row r="147" spans="1:78" s="64" customFormat="1" x14ac:dyDescent="0.35">
      <c r="G147" s="128"/>
      <c r="H147" s="128"/>
      <c r="AE147" s="13"/>
      <c r="AF147" s="13"/>
      <c r="AG147" s="13"/>
      <c r="AH147" s="13"/>
      <c r="AI147" s="13"/>
      <c r="AJ147" s="13"/>
      <c r="AK147" s="13"/>
      <c r="AL147" s="13"/>
      <c r="AM147" s="13"/>
      <c r="AN147" s="13"/>
      <c r="AO147" s="13"/>
      <c r="AP147" s="13"/>
      <c r="AQ147" s="13"/>
      <c r="AR147" s="13"/>
      <c r="AS147" s="13"/>
      <c r="AT147" s="13"/>
      <c r="AU147" s="13"/>
      <c r="AV147" s="13"/>
      <c r="AW147" s="13"/>
      <c r="AX147" s="13"/>
      <c r="AY147" s="13"/>
      <c r="AZ147" s="13"/>
      <c r="BA147" s="13"/>
      <c r="BB147" s="13"/>
      <c r="BC147" s="13"/>
      <c r="BD147" s="13"/>
      <c r="BE147" s="13"/>
      <c r="BF147" s="13"/>
      <c r="BG147" s="13"/>
      <c r="BH147" s="13"/>
      <c r="BI147" s="13"/>
      <c r="BJ147" s="13"/>
      <c r="BK147" s="13"/>
      <c r="BL147" s="13"/>
      <c r="BM147" s="13"/>
      <c r="BN147" s="13"/>
      <c r="BO147" s="13"/>
      <c r="BP147" s="13"/>
      <c r="BQ147" s="13"/>
      <c r="BR147" s="13"/>
      <c r="BS147" s="13"/>
      <c r="BT147" s="13"/>
      <c r="BU147" s="13"/>
      <c r="BV147" s="13"/>
      <c r="BW147" s="13"/>
      <c r="BX147" s="13"/>
      <c r="BY147" s="13"/>
      <c r="BZ147" s="13"/>
    </row>
    <row r="148" spans="1:78" s="64" customFormat="1" x14ac:dyDescent="0.35">
      <c r="A148" s="13"/>
      <c r="B148" s="13"/>
      <c r="C148" s="13"/>
      <c r="D148" s="13"/>
      <c r="E148" s="13"/>
      <c r="F148" s="13"/>
      <c r="G148" s="129"/>
      <c r="H148" s="129"/>
      <c r="I148" s="13"/>
      <c r="M148" s="13"/>
      <c r="AE148" s="13"/>
      <c r="AF148" s="13"/>
      <c r="AG148" s="13"/>
      <c r="AH148" s="13"/>
      <c r="AI148" s="13"/>
      <c r="AJ148" s="13"/>
      <c r="AK148" s="13"/>
      <c r="AL148" s="13"/>
      <c r="AM148" s="13"/>
      <c r="AN148" s="13"/>
      <c r="AO148" s="13"/>
      <c r="AP148" s="13"/>
      <c r="AQ148" s="13"/>
      <c r="AR148" s="13"/>
      <c r="AS148" s="13"/>
      <c r="AT148" s="13"/>
      <c r="AU148" s="13"/>
      <c r="AV148" s="13"/>
      <c r="AW148" s="13"/>
      <c r="AX148" s="13"/>
      <c r="AY148" s="13"/>
      <c r="AZ148" s="13"/>
      <c r="BA148" s="13"/>
      <c r="BB148" s="13"/>
      <c r="BC148" s="13"/>
      <c r="BD148" s="13"/>
      <c r="BE148" s="13"/>
      <c r="BF148" s="13"/>
      <c r="BG148" s="13"/>
      <c r="BH148" s="13"/>
      <c r="BI148" s="13"/>
      <c r="BJ148" s="13"/>
      <c r="BK148" s="13"/>
      <c r="BL148" s="13"/>
      <c r="BM148" s="13"/>
      <c r="BN148" s="13"/>
      <c r="BO148" s="13"/>
      <c r="BP148" s="13"/>
      <c r="BQ148" s="13"/>
      <c r="BR148" s="13"/>
      <c r="BS148" s="13"/>
      <c r="BT148" s="13"/>
      <c r="BU148" s="13"/>
      <c r="BV148" s="13"/>
      <c r="BW148" s="13"/>
      <c r="BX148" s="13"/>
      <c r="BY148" s="13"/>
      <c r="BZ148" s="13"/>
    </row>
    <row r="149" spans="1:78" s="13" customFormat="1" x14ac:dyDescent="0.35">
      <c r="A149" s="1"/>
      <c r="B149" s="1"/>
      <c r="C149" s="1"/>
      <c r="D149" s="1"/>
      <c r="E149" s="1"/>
      <c r="F149" s="1"/>
      <c r="G149" s="18"/>
      <c r="H149" s="18"/>
      <c r="J149" s="64"/>
      <c r="K149" s="64"/>
      <c r="L149" s="64"/>
      <c r="M149" s="1"/>
      <c r="N149" s="64"/>
      <c r="O149" s="64"/>
      <c r="P149" s="64"/>
      <c r="Q149" s="64"/>
      <c r="R149" s="64"/>
      <c r="S149" s="64"/>
      <c r="T149" s="64"/>
      <c r="U149" s="64"/>
      <c r="V149" s="64"/>
      <c r="W149" s="64"/>
      <c r="X149" s="64"/>
      <c r="Y149" s="64"/>
      <c r="Z149" s="64"/>
      <c r="AA149" s="64"/>
      <c r="AB149" s="64"/>
      <c r="AC149" s="64"/>
      <c r="AD149" s="64"/>
    </row>
  </sheetData>
  <sheetProtection algorithmName="SHA-512" hashValue="7s22zYwC7oa3HS1YTsY0RvHFPvEHLt3hQAy8bGws+YqeOnLvRWGajjaSXKoZOBTNibtsg9593icior8ek8o6NA==" saltValue="47++e1T+n85Pg2S+R9MQNw==" spinCount="100000" sheet="1" objects="1" scenarios="1"/>
  <protectedRanges>
    <protectedRange sqref="C13:C15 D18 C17:C18 C16:D16" name="Range1"/>
  </protectedRanges>
  <mergeCells count="6">
    <mergeCell ref="B8:E8"/>
    <mergeCell ref="C3:E3"/>
    <mergeCell ref="B4:E4"/>
    <mergeCell ref="B5:E5"/>
    <mergeCell ref="B6:E6"/>
    <mergeCell ref="B7:E7"/>
  </mergeCell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400-000001000000}">
          <x14:formula1>
            <xm:f>Assumptions!$T$3:$T$25</xm:f>
          </x14:formula1>
          <xm:sqref>C13</xm:sqref>
        </x14:dataValidation>
        <x14:dataValidation type="list" allowBlank="1" showInputMessage="1" showErrorMessage="1" xr:uid="{00000000-0002-0000-0400-000000000000}">
          <x14:formula1>
            <xm:f>Assumptions!$U$3:$U$4</xm:f>
          </x14:formula1>
          <xm:sqref>D18 D16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7">
    <tabColor rgb="FF5B9BD5"/>
  </sheetPr>
  <dimension ref="A1:BX150"/>
  <sheetViews>
    <sheetView zoomScaleNormal="100" zoomScalePageLayoutView="80" workbookViewId="0">
      <pane ySplit="1" topLeftCell="A28" activePane="bottomLeft" state="frozen"/>
      <selection pane="bottomLeft" activeCell="B19" sqref="B19"/>
    </sheetView>
  </sheetViews>
  <sheetFormatPr defaultColWidth="8.7265625" defaultRowHeight="14.5" x14ac:dyDescent="0.35"/>
  <cols>
    <col min="1" max="1" width="3.7265625" style="1" customWidth="1"/>
    <col min="2" max="2" width="75.26953125" style="1" customWidth="1"/>
    <col min="3" max="3" width="12.7265625" style="1" customWidth="1"/>
    <col min="4" max="4" width="16.7265625" style="1" customWidth="1"/>
    <col min="5" max="5" width="14.7265625" style="1" customWidth="1"/>
    <col min="6" max="6" width="4.7265625" style="1" customWidth="1"/>
    <col min="7" max="7" width="12.26953125" style="1" hidden="1" customWidth="1"/>
    <col min="8" max="8" width="12.7265625" style="64" hidden="1" customWidth="1"/>
    <col min="9" max="9" width="12.26953125" style="13" hidden="1" customWidth="1"/>
    <col min="10" max="10" width="22.453125" style="64" hidden="1" customWidth="1"/>
    <col min="11" max="11" width="8.7265625" style="64" hidden="1" customWidth="1"/>
    <col min="12" max="12" width="8" style="64" hidden="1" customWidth="1"/>
    <col min="13" max="13" width="8.453125" style="1" hidden="1" customWidth="1"/>
    <col min="14" max="16" width="8.453125" style="64" hidden="1" customWidth="1"/>
    <col min="17" max="17" width="9.7265625" style="64" hidden="1" customWidth="1"/>
    <col min="18" max="44" width="8.453125" style="64" customWidth="1"/>
    <col min="45" max="75" width="8.7265625" style="64"/>
    <col min="76" max="16384" width="8.7265625" style="1"/>
  </cols>
  <sheetData>
    <row r="1" spans="1:75" s="66" customFormat="1" ht="32.25" customHeight="1" x14ac:dyDescent="0.35">
      <c r="A1" s="63" t="s">
        <v>18</v>
      </c>
      <c r="B1" s="64"/>
      <c r="C1" s="64"/>
      <c r="D1" s="64"/>
      <c r="E1" s="64"/>
      <c r="H1" s="64"/>
      <c r="I1" s="64" t="s">
        <v>1</v>
      </c>
    </row>
    <row r="2" spans="1:75" s="66" customFormat="1" ht="14.25" customHeight="1" x14ac:dyDescent="0.35">
      <c r="A2" s="63"/>
      <c r="B2" s="64"/>
      <c r="C2" s="64"/>
      <c r="D2" s="64"/>
      <c r="E2" s="64"/>
      <c r="H2" s="64"/>
      <c r="I2" s="64"/>
    </row>
    <row r="3" spans="1:75" s="66" customFormat="1" ht="18.75" customHeight="1" x14ac:dyDescent="0.35">
      <c r="A3" s="185"/>
      <c r="B3" s="61" t="s">
        <v>77</v>
      </c>
      <c r="C3" s="549"/>
      <c r="D3" s="549"/>
      <c r="E3" s="549"/>
      <c r="F3" s="184"/>
      <c r="H3" s="64"/>
      <c r="I3" s="64"/>
    </row>
    <row r="4" spans="1:75" customFormat="1" ht="23.5" x14ac:dyDescent="0.35">
      <c r="A4" s="186"/>
      <c r="B4" s="550" t="s">
        <v>78</v>
      </c>
      <c r="C4" s="550"/>
      <c r="D4" s="550"/>
      <c r="E4" s="550"/>
      <c r="F4" s="187"/>
      <c r="G4" s="66"/>
      <c r="H4" s="64"/>
      <c r="I4" s="64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66"/>
      <c r="AI4" s="66"/>
      <c r="AJ4" s="66"/>
      <c r="AK4" s="66"/>
      <c r="AL4" s="66"/>
      <c r="AM4" s="66"/>
      <c r="AN4" s="66"/>
    </row>
    <row r="5" spans="1:75" customFormat="1" ht="30" customHeight="1" x14ac:dyDescent="0.35">
      <c r="A5" s="186"/>
      <c r="B5" s="551" t="s">
        <v>79</v>
      </c>
      <c r="C5" s="551"/>
      <c r="D5" s="551"/>
      <c r="E5" s="551"/>
      <c r="F5" s="187"/>
      <c r="G5" s="66"/>
      <c r="H5" s="64"/>
      <c r="I5" s="64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66"/>
      <c r="W5" s="66"/>
      <c r="X5" s="66"/>
      <c r="Y5" s="66"/>
      <c r="Z5" s="66"/>
      <c r="AA5" s="66"/>
      <c r="AB5" s="66"/>
      <c r="AC5" s="66"/>
      <c r="AD5" s="66"/>
      <c r="AE5" s="66"/>
      <c r="AF5" s="66"/>
      <c r="AG5" s="66"/>
      <c r="AH5" s="66"/>
      <c r="AI5" s="66"/>
      <c r="AJ5" s="66"/>
      <c r="AK5" s="66"/>
      <c r="AL5" s="66"/>
      <c r="AM5" s="66"/>
      <c r="AN5" s="66"/>
    </row>
    <row r="6" spans="1:75" customFormat="1" ht="29.25" customHeight="1" x14ac:dyDescent="0.35">
      <c r="A6" s="186"/>
      <c r="B6" s="552" t="s">
        <v>80</v>
      </c>
      <c r="C6" s="552"/>
      <c r="D6" s="552"/>
      <c r="E6" s="552"/>
      <c r="F6" s="187"/>
      <c r="G6" s="66"/>
      <c r="H6" s="64"/>
      <c r="I6" s="64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  <c r="AA6" s="66"/>
      <c r="AB6" s="66"/>
      <c r="AC6" s="66"/>
      <c r="AD6" s="66"/>
      <c r="AE6" s="66"/>
      <c r="AF6" s="66"/>
      <c r="AG6" s="66"/>
      <c r="AH6" s="66"/>
      <c r="AI6" s="66"/>
      <c r="AJ6" s="66"/>
      <c r="AK6" s="66"/>
      <c r="AL6" s="66"/>
      <c r="AM6" s="66"/>
      <c r="AN6" s="66"/>
    </row>
    <row r="7" spans="1:75" customFormat="1" ht="27" customHeight="1" x14ac:dyDescent="0.35">
      <c r="A7" s="186"/>
      <c r="B7" s="553" t="s">
        <v>81</v>
      </c>
      <c r="C7" s="553"/>
      <c r="D7" s="553"/>
      <c r="E7" s="553"/>
      <c r="F7" s="187"/>
      <c r="G7" s="66"/>
      <c r="H7" s="64"/>
      <c r="I7" s="64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66"/>
      <c r="Y7" s="66"/>
      <c r="Z7" s="66"/>
      <c r="AA7" s="66"/>
      <c r="AB7" s="66"/>
      <c r="AC7" s="66"/>
      <c r="AD7" s="66"/>
      <c r="AE7" s="66"/>
      <c r="AF7" s="66"/>
      <c r="AG7" s="66"/>
      <c r="AH7" s="66"/>
      <c r="AI7" s="66"/>
      <c r="AJ7" s="66"/>
      <c r="AK7" s="66"/>
      <c r="AL7" s="66"/>
      <c r="AM7" s="66"/>
      <c r="AN7" s="66"/>
    </row>
    <row r="8" spans="1:75" customFormat="1" ht="23.5" x14ac:dyDescent="0.35">
      <c r="A8" s="186"/>
      <c r="B8" s="548" t="s">
        <v>82</v>
      </c>
      <c r="C8" s="548"/>
      <c r="D8" s="548"/>
      <c r="E8" s="548"/>
      <c r="F8" s="187"/>
      <c r="G8" s="66"/>
      <c r="H8" s="64"/>
      <c r="I8" s="64"/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  <c r="U8" s="66"/>
      <c r="V8" s="66"/>
      <c r="W8" s="66"/>
      <c r="X8" s="66"/>
      <c r="Y8" s="66"/>
      <c r="Z8" s="66"/>
      <c r="AA8" s="66"/>
      <c r="AB8" s="66"/>
      <c r="AC8" s="66"/>
      <c r="AD8" s="66"/>
      <c r="AE8" s="66"/>
      <c r="AF8" s="66"/>
      <c r="AG8" s="66"/>
      <c r="AH8" s="66"/>
      <c r="AI8" s="66"/>
      <c r="AJ8" s="66"/>
      <c r="AK8" s="66"/>
      <c r="AL8" s="66"/>
      <c r="AM8" s="66"/>
      <c r="AN8" s="66"/>
    </row>
    <row r="9" spans="1:75" s="66" customFormat="1" ht="15.75" customHeight="1" x14ac:dyDescent="0.35">
      <c r="A9" s="184"/>
      <c r="B9" s="184"/>
      <c r="C9" s="184"/>
      <c r="D9" s="184"/>
      <c r="E9" s="184"/>
      <c r="F9" s="184"/>
      <c r="H9" s="64"/>
      <c r="I9" s="64"/>
    </row>
    <row r="10" spans="1:75" s="66" customFormat="1" ht="22.5" customHeight="1" x14ac:dyDescent="0.35">
      <c r="A10" s="63"/>
      <c r="B10" s="64"/>
      <c r="C10" s="64"/>
      <c r="D10" s="64"/>
      <c r="E10" s="64"/>
      <c r="H10" s="64"/>
      <c r="I10" s="64"/>
    </row>
    <row r="11" spans="1:75" s="13" customFormat="1" ht="15.5" x14ac:dyDescent="0.35">
      <c r="A11" s="1"/>
      <c r="B11" s="61" t="s">
        <v>83</v>
      </c>
      <c r="C11" s="1"/>
      <c r="D11" s="1"/>
      <c r="E11" s="1"/>
      <c r="F11" s="1"/>
      <c r="G11" s="64"/>
      <c r="H11" s="64"/>
      <c r="I11" s="64"/>
      <c r="J11" s="64"/>
      <c r="K11" s="64"/>
      <c r="L11" s="64"/>
      <c r="M11" s="64"/>
      <c r="N11" s="64"/>
      <c r="O11" s="64"/>
      <c r="P11" s="64"/>
      <c r="Q11" s="64"/>
      <c r="R11" s="64"/>
      <c r="S11" s="64"/>
      <c r="T11" s="64"/>
      <c r="U11" s="64"/>
      <c r="V11" s="64"/>
      <c r="W11" s="64"/>
      <c r="X11" s="64"/>
      <c r="Y11" s="64"/>
      <c r="Z11" s="64"/>
      <c r="AA11" s="64"/>
      <c r="AB11" s="64"/>
      <c r="AC11" s="64"/>
      <c r="AD11" s="64"/>
      <c r="AE11" s="64"/>
      <c r="AF11" s="64"/>
      <c r="AG11" s="64"/>
      <c r="AH11" s="64"/>
      <c r="AI11" s="64"/>
      <c r="AJ11" s="64"/>
      <c r="AK11" s="64"/>
      <c r="AL11" s="64"/>
      <c r="AM11" s="64"/>
      <c r="AN11" s="64"/>
      <c r="AO11" s="64"/>
      <c r="AP11" s="64"/>
      <c r="AQ11" s="64"/>
      <c r="AR11" s="64"/>
      <c r="AS11" s="64"/>
      <c r="AT11" s="64"/>
      <c r="AU11" s="64"/>
      <c r="AV11" s="64"/>
      <c r="AW11" s="64"/>
      <c r="AX11" s="64"/>
      <c r="AY11" s="64"/>
      <c r="AZ11" s="64"/>
      <c r="BA11" s="64"/>
      <c r="BB11" s="64"/>
      <c r="BC11" s="64"/>
      <c r="BD11" s="64"/>
      <c r="BE11" s="64"/>
      <c r="BF11" s="64"/>
      <c r="BG11" s="64"/>
      <c r="BH11" s="64"/>
      <c r="BI11" s="64"/>
      <c r="BJ11" s="64"/>
      <c r="BK11" s="64"/>
      <c r="BL11" s="64"/>
      <c r="BM11" s="64"/>
      <c r="BN11" s="64"/>
      <c r="BO11" s="64"/>
      <c r="BP11" s="64"/>
      <c r="BQ11" s="64"/>
      <c r="BR11" s="64"/>
      <c r="BS11" s="64"/>
      <c r="BT11" s="64"/>
    </row>
    <row r="12" spans="1:75" s="13" customFormat="1" ht="26.5" x14ac:dyDescent="0.35">
      <c r="A12" s="1"/>
      <c r="B12" s="102" t="s">
        <v>84</v>
      </c>
      <c r="C12" s="102" t="s">
        <v>85</v>
      </c>
      <c r="D12" s="102" t="s">
        <v>86</v>
      </c>
      <c r="E12" s="102" t="s">
        <v>87</v>
      </c>
      <c r="F12" s="1"/>
      <c r="G12" s="115" t="s">
        <v>88</v>
      </c>
      <c r="H12" s="115" t="s">
        <v>89</v>
      </c>
      <c r="I12" s="115" t="s">
        <v>90</v>
      </c>
      <c r="J12" s="64"/>
      <c r="K12" s="64"/>
      <c r="L12" s="64"/>
      <c r="M12" s="64"/>
      <c r="N12" s="64"/>
      <c r="O12" s="64"/>
      <c r="P12" s="64"/>
      <c r="Q12" s="64"/>
      <c r="R12" s="64"/>
      <c r="S12" s="64"/>
      <c r="T12" s="64"/>
      <c r="U12" s="64"/>
      <c r="V12" s="64"/>
      <c r="W12" s="64"/>
      <c r="X12" s="64"/>
      <c r="Y12" s="64"/>
      <c r="Z12" s="64"/>
      <c r="AA12" s="64"/>
      <c r="AB12" s="64"/>
      <c r="AC12" s="64"/>
      <c r="AD12" s="64"/>
      <c r="AE12" s="64"/>
      <c r="AF12" s="64"/>
      <c r="AG12" s="64"/>
      <c r="AH12" s="64"/>
      <c r="AI12" s="64"/>
      <c r="AJ12" s="64"/>
      <c r="AK12" s="64"/>
      <c r="AL12" s="64"/>
      <c r="AM12" s="64"/>
      <c r="AN12" s="64"/>
      <c r="AO12" s="64"/>
      <c r="AP12" s="64"/>
      <c r="AQ12" s="64"/>
      <c r="AR12" s="64"/>
      <c r="AS12" s="64"/>
      <c r="AT12" s="64"/>
      <c r="AU12" s="64"/>
      <c r="AV12" s="64"/>
      <c r="AW12" s="64"/>
      <c r="AX12" s="64"/>
      <c r="AY12" s="64"/>
      <c r="AZ12" s="64"/>
      <c r="BA12" s="64"/>
      <c r="BB12" s="64"/>
      <c r="BC12" s="64"/>
      <c r="BD12" s="64"/>
      <c r="BE12" s="64"/>
      <c r="BF12" s="64"/>
      <c r="BG12" s="64"/>
      <c r="BH12" s="64"/>
      <c r="BI12" s="64"/>
      <c r="BJ12" s="64"/>
      <c r="BK12" s="64"/>
      <c r="BL12" s="64"/>
      <c r="BM12" s="64"/>
      <c r="BN12" s="64"/>
      <c r="BO12" s="64"/>
      <c r="BP12" s="64"/>
      <c r="BQ12" s="64"/>
      <c r="BR12" s="64"/>
      <c r="BS12" s="64"/>
      <c r="BT12" s="64"/>
    </row>
    <row r="13" spans="1:75" x14ac:dyDescent="0.35">
      <c r="B13" s="105" t="s">
        <v>91</v>
      </c>
      <c r="C13" s="509"/>
      <c r="D13" s="510"/>
      <c r="E13" s="106"/>
      <c r="G13" s="64"/>
      <c r="H13" s="117">
        <f>C13</f>
        <v>0</v>
      </c>
      <c r="I13" s="64"/>
      <c r="M13" s="64"/>
      <c r="BU13" s="1"/>
      <c r="BV13" s="1"/>
      <c r="BW13" s="1"/>
    </row>
    <row r="14" spans="1:75" x14ac:dyDescent="0.35">
      <c r="B14" s="105" t="s">
        <v>141</v>
      </c>
      <c r="C14" s="509"/>
      <c r="D14" s="510"/>
      <c r="E14" s="106"/>
      <c r="G14" s="64"/>
      <c r="H14" s="117">
        <f>C14</f>
        <v>0</v>
      </c>
      <c r="I14" s="64"/>
      <c r="M14" s="64"/>
      <c r="BU14" s="1"/>
      <c r="BV14" s="1"/>
      <c r="BW14" s="1"/>
    </row>
    <row r="15" spans="1:75" x14ac:dyDescent="0.35">
      <c r="B15" s="105" t="s">
        <v>142</v>
      </c>
      <c r="C15" s="522"/>
      <c r="D15" s="510"/>
      <c r="E15" s="106"/>
      <c r="G15" s="64"/>
      <c r="H15" s="117">
        <f>C15</f>
        <v>0</v>
      </c>
      <c r="I15" s="64"/>
      <c r="M15" s="64"/>
      <c r="BU15" s="1"/>
      <c r="BV15" s="1"/>
      <c r="BW15" s="1"/>
    </row>
    <row r="16" spans="1:75" x14ac:dyDescent="0.35">
      <c r="B16" s="105" t="s">
        <v>143</v>
      </c>
      <c r="C16" s="523"/>
      <c r="D16" s="524" t="s">
        <v>94</v>
      </c>
      <c r="E16" s="147">
        <f>IF(D16="Yes",G16," ")</f>
        <v>7.4099999999999999E-2</v>
      </c>
      <c r="G16" s="143">
        <f>IF($H$14="Urban",Assumptions!$D$37,Assumptions!$D$38)</f>
        <v>7.4099999999999999E-2</v>
      </c>
      <c r="H16" s="143">
        <f t="shared" ref="H16:H19" si="0">IF(D16="Yes",E16,C16)</f>
        <v>7.4099999999999999E-2</v>
      </c>
      <c r="I16" s="166">
        <f>IF(D16="Yes",IF(E16=0,1,0),IF(AND(D16="No",C16=""),1,0))</f>
        <v>0</v>
      </c>
      <c r="J16" s="502"/>
      <c r="M16" s="64"/>
      <c r="BU16" s="1"/>
      <c r="BV16" s="1"/>
      <c r="BW16" s="1"/>
    </row>
    <row r="17" spans="1:75" x14ac:dyDescent="0.35">
      <c r="B17" s="105" t="s">
        <v>144</v>
      </c>
      <c r="C17" s="523"/>
      <c r="D17" s="513" t="s">
        <v>94</v>
      </c>
      <c r="E17" s="404">
        <f>IF(D17="Yes",G17," ")</f>
        <v>8.8994507029140791E-3</v>
      </c>
      <c r="G17" s="299">
        <f>-(1-1/(1+$H$16))*$H$28</f>
        <v>8.8994507029140791E-3</v>
      </c>
      <c r="H17" s="299">
        <f t="shared" si="0"/>
        <v>8.8994507029140791E-3</v>
      </c>
      <c r="I17" s="166">
        <f>IF(AND(D17="No",ISBLANK(C17)),1,IF(D17="Yes",IF(E17=0,1,0),0))</f>
        <v>0</v>
      </c>
      <c r="M17" s="64"/>
      <c r="BU17" s="1"/>
      <c r="BV17" s="1"/>
      <c r="BW17" s="1"/>
    </row>
    <row r="18" spans="1:75" s="60" customFormat="1" x14ac:dyDescent="0.35">
      <c r="B18" s="105" t="s">
        <v>145</v>
      </c>
      <c r="C18" s="525"/>
      <c r="D18" s="524" t="s">
        <v>94</v>
      </c>
      <c r="E18" s="403">
        <f>IF(D18="Yes",G18," ")</f>
        <v>0</v>
      </c>
      <c r="G18" s="405">
        <f>H26*(1+H17)</f>
        <v>0</v>
      </c>
      <c r="H18" s="405">
        <f>IF(D18="Yes",E18,C18)</f>
        <v>0</v>
      </c>
      <c r="I18" s="166">
        <f>IF(AND(D18="No",ISBLANK(C18)),1,IF(D18="Yes",IF(E18=0,1,0),0))</f>
        <v>1</v>
      </c>
      <c r="J18" s="64"/>
      <c r="K18" s="64"/>
      <c r="L18" s="65"/>
      <c r="M18" s="65"/>
      <c r="N18" s="65"/>
      <c r="O18" s="65"/>
      <c r="P18" s="65"/>
      <c r="Q18" s="65"/>
      <c r="R18" s="65"/>
      <c r="S18" s="65"/>
      <c r="T18" s="65"/>
      <c r="U18" s="65"/>
      <c r="V18" s="65"/>
      <c r="W18" s="65"/>
      <c r="X18" s="65"/>
      <c r="Y18" s="65"/>
      <c r="Z18" s="65"/>
      <c r="AA18" s="65"/>
      <c r="AB18" s="65"/>
      <c r="AC18" s="65"/>
      <c r="AD18" s="65"/>
      <c r="AE18" s="65"/>
      <c r="AF18" s="65"/>
      <c r="AG18" s="65"/>
      <c r="AH18" s="65"/>
      <c r="AI18" s="65"/>
      <c r="AJ18" s="65"/>
      <c r="AK18" s="65"/>
      <c r="AL18" s="65"/>
      <c r="AM18" s="65"/>
      <c r="AN18" s="65"/>
      <c r="AO18" s="65"/>
      <c r="AP18" s="65"/>
      <c r="AQ18" s="65"/>
      <c r="AR18" s="65"/>
      <c r="AS18" s="65"/>
      <c r="AT18" s="65"/>
      <c r="AU18" s="65"/>
      <c r="AV18" s="65"/>
      <c r="AW18" s="65"/>
      <c r="AX18" s="65"/>
      <c r="AY18" s="65"/>
      <c r="AZ18" s="65"/>
      <c r="BA18" s="65"/>
      <c r="BB18" s="65"/>
      <c r="BC18" s="65"/>
      <c r="BD18" s="65"/>
      <c r="BE18" s="65"/>
      <c r="BF18" s="65"/>
      <c r="BG18" s="65"/>
      <c r="BH18" s="65"/>
      <c r="BI18" s="65"/>
      <c r="BJ18" s="65"/>
      <c r="BK18" s="65"/>
      <c r="BL18" s="65"/>
      <c r="BM18" s="65"/>
      <c r="BN18" s="65"/>
      <c r="BO18" s="65"/>
      <c r="BP18" s="65"/>
      <c r="BQ18" s="65"/>
      <c r="BR18" s="65"/>
      <c r="BS18" s="65"/>
      <c r="BT18" s="65"/>
      <c r="BU18" s="65"/>
      <c r="BV18" s="65"/>
    </row>
    <row r="19" spans="1:75" s="60" customFormat="1" x14ac:dyDescent="0.35">
      <c r="B19" s="105" t="s">
        <v>146</v>
      </c>
      <c r="C19" s="526"/>
      <c r="D19" s="524" t="s">
        <v>94</v>
      </c>
      <c r="E19" s="414">
        <f t="shared" ref="E19" si="1">IF(D19="Yes",G19," ")</f>
        <v>7.47</v>
      </c>
      <c r="G19" s="406">
        <f>Assumptions!$D$32</f>
        <v>7.47</v>
      </c>
      <c r="H19" s="406">
        <f t="shared" si="0"/>
        <v>7.47</v>
      </c>
      <c r="I19" s="166">
        <f>IF(AND(D19="No",ISBLANK(C19)),1,IF(D19="Yes",IF(E19=0,1,0),0))</f>
        <v>0</v>
      </c>
      <c r="J19" s="64"/>
      <c r="K19" s="64"/>
      <c r="L19" s="65"/>
      <c r="M19" s="65"/>
      <c r="N19" s="65"/>
      <c r="O19" s="65"/>
      <c r="P19" s="65"/>
      <c r="Q19" s="65"/>
      <c r="R19" s="65"/>
      <c r="S19" s="65"/>
      <c r="T19" s="65"/>
      <c r="U19" s="65"/>
      <c r="V19" s="65"/>
      <c r="W19" s="65"/>
      <c r="X19" s="65"/>
      <c r="Y19" s="65"/>
      <c r="Z19" s="65"/>
      <c r="AA19" s="65"/>
      <c r="AB19" s="65"/>
      <c r="AC19" s="65"/>
      <c r="AD19" s="65"/>
      <c r="AE19" s="65"/>
      <c r="AF19" s="65"/>
      <c r="AG19" s="65"/>
      <c r="AH19" s="65"/>
      <c r="AI19" s="65"/>
      <c r="AJ19" s="65"/>
      <c r="AK19" s="65"/>
      <c r="AL19" s="65"/>
      <c r="AM19" s="65"/>
      <c r="AN19" s="65"/>
      <c r="AO19" s="65"/>
      <c r="AP19" s="65"/>
      <c r="AQ19" s="65"/>
      <c r="AR19" s="65"/>
      <c r="AS19" s="65"/>
      <c r="AT19" s="65"/>
      <c r="AU19" s="65"/>
      <c r="AV19" s="65"/>
      <c r="AW19" s="65"/>
      <c r="AX19" s="65"/>
      <c r="AY19" s="65"/>
      <c r="AZ19" s="65"/>
      <c r="BA19" s="65"/>
      <c r="BB19" s="65"/>
      <c r="BC19" s="65"/>
      <c r="BD19" s="65"/>
      <c r="BE19" s="65"/>
      <c r="BF19" s="65"/>
      <c r="BG19" s="65"/>
      <c r="BH19" s="65"/>
      <c r="BI19" s="65"/>
      <c r="BJ19" s="65"/>
      <c r="BK19" s="65"/>
      <c r="BL19" s="65"/>
      <c r="BM19" s="65"/>
      <c r="BN19" s="65"/>
      <c r="BO19" s="65"/>
      <c r="BP19" s="65"/>
      <c r="BQ19" s="65"/>
      <c r="BR19" s="65"/>
      <c r="BS19" s="65"/>
      <c r="BT19" s="65"/>
      <c r="BU19" s="65"/>
      <c r="BV19" s="65"/>
    </row>
    <row r="20" spans="1:75" x14ac:dyDescent="0.35">
      <c r="B20" s="100"/>
      <c r="C20" s="101"/>
      <c r="D20" s="101"/>
      <c r="E20" s="101"/>
      <c r="G20" s="64"/>
      <c r="H20" s="104"/>
      <c r="I20" s="64"/>
      <c r="M20" s="64"/>
      <c r="BU20" s="1"/>
      <c r="BV20" s="1"/>
      <c r="BW20" s="1"/>
    </row>
    <row r="21" spans="1:75" s="64" customFormat="1" x14ac:dyDescent="0.35">
      <c r="B21" s="103"/>
      <c r="C21" s="104"/>
      <c r="D21" s="104"/>
      <c r="E21" s="104"/>
      <c r="H21" s="104"/>
    </row>
    <row r="22" spans="1:75" ht="15.5" x14ac:dyDescent="0.35">
      <c r="B22" s="61" t="s">
        <v>96</v>
      </c>
      <c r="G22" s="64"/>
      <c r="I22" s="64"/>
      <c r="M22" s="64"/>
      <c r="BU22" s="1"/>
      <c r="BV22" s="1"/>
      <c r="BW22" s="1"/>
    </row>
    <row r="23" spans="1:75" x14ac:dyDescent="0.35">
      <c r="G23" s="64"/>
      <c r="I23" s="64"/>
      <c r="M23" s="64"/>
      <c r="BU23" s="1"/>
      <c r="BV23" s="1"/>
      <c r="BW23" s="1"/>
    </row>
    <row r="24" spans="1:75" x14ac:dyDescent="0.35">
      <c r="B24" s="102" t="s">
        <v>84</v>
      </c>
      <c r="C24" s="102" t="s">
        <v>85</v>
      </c>
      <c r="G24" s="64"/>
      <c r="H24" s="115"/>
      <c r="I24" s="64"/>
      <c r="M24" s="64"/>
      <c r="BU24" s="1"/>
      <c r="BV24" s="1"/>
      <c r="BW24" s="1"/>
    </row>
    <row r="25" spans="1:75" x14ac:dyDescent="0.35">
      <c r="B25" s="105" t="s">
        <v>147</v>
      </c>
      <c r="C25" s="147">
        <f>Assumptions!$D$33</f>
        <v>0.5</v>
      </c>
      <c r="G25" s="64"/>
      <c r="H25" s="143">
        <f t="shared" ref="H25:H30" si="2">C25</f>
        <v>0.5</v>
      </c>
      <c r="I25" s="64"/>
      <c r="M25" s="64"/>
      <c r="BU25" s="1"/>
      <c r="BV25" s="1"/>
      <c r="BW25" s="1"/>
    </row>
    <row r="26" spans="1:75" x14ac:dyDescent="0.35">
      <c r="B26" s="105" t="s">
        <v>148</v>
      </c>
      <c r="C26" s="403">
        <f>H15*H25</f>
        <v>0</v>
      </c>
      <c r="G26" s="64"/>
      <c r="H26" s="405">
        <f t="shared" si="2"/>
        <v>0</v>
      </c>
      <c r="I26" s="64"/>
      <c r="M26" s="64"/>
      <c r="BU26" s="1"/>
      <c r="BV26" s="1"/>
      <c r="BW26" s="1"/>
    </row>
    <row r="27" spans="1:75" x14ac:dyDescent="0.35">
      <c r="B27" s="105" t="s">
        <v>123</v>
      </c>
      <c r="C27" s="147">
        <f>Assumptions!$D$34</f>
        <v>0.66700000000000004</v>
      </c>
      <c r="G27" s="143"/>
      <c r="H27" s="143">
        <f t="shared" si="2"/>
        <v>0.66700000000000004</v>
      </c>
      <c r="I27" s="64"/>
      <c r="M27" s="64"/>
      <c r="BU27" s="1"/>
      <c r="BV27" s="1"/>
      <c r="BW27" s="1"/>
    </row>
    <row r="28" spans="1:75" x14ac:dyDescent="0.35">
      <c r="B28" s="105" t="s">
        <v>149</v>
      </c>
      <c r="C28" s="113">
        <f>Assumptions!$D$35</f>
        <v>-0.129</v>
      </c>
      <c r="G28" s="64"/>
      <c r="H28" s="121">
        <f t="shared" si="2"/>
        <v>-0.129</v>
      </c>
      <c r="I28" s="64"/>
      <c r="M28" s="64"/>
      <c r="BU28" s="1"/>
      <c r="BV28" s="1"/>
      <c r="BW28" s="1"/>
    </row>
    <row r="29" spans="1:75" x14ac:dyDescent="0.35">
      <c r="B29" s="105" t="s">
        <v>97</v>
      </c>
      <c r="C29" s="344">
        <f>Assumptions!$D$16</f>
        <v>1.32</v>
      </c>
      <c r="G29" s="64"/>
      <c r="H29" s="328">
        <f t="shared" si="2"/>
        <v>1.32</v>
      </c>
      <c r="I29" s="64"/>
      <c r="M29" s="64"/>
      <c r="BU29" s="1"/>
      <c r="BV29" s="1"/>
      <c r="BW29" s="1"/>
    </row>
    <row r="30" spans="1:75" x14ac:dyDescent="0.35">
      <c r="B30" s="105" t="s">
        <v>98</v>
      </c>
      <c r="C30" s="403">
        <f>(H18-H26)*H27/H29</f>
        <v>0</v>
      </c>
      <c r="G30" s="64"/>
      <c r="H30" s="122">
        <f t="shared" si="2"/>
        <v>0</v>
      </c>
      <c r="I30" s="64"/>
      <c r="M30" s="64"/>
      <c r="BU30" s="1"/>
      <c r="BV30" s="1"/>
      <c r="BW30" s="1"/>
    </row>
    <row r="31" spans="1:75" x14ac:dyDescent="0.35">
      <c r="B31" s="44"/>
      <c r="C31" s="62"/>
      <c r="G31" s="64"/>
      <c r="H31" s="116"/>
      <c r="I31" s="64"/>
      <c r="M31" s="64"/>
      <c r="BU31" s="1"/>
      <c r="BV31" s="1"/>
      <c r="BW31" s="1"/>
    </row>
    <row r="32" spans="1:75" x14ac:dyDescent="0.35">
      <c r="A32" s="64"/>
      <c r="B32" s="64"/>
      <c r="C32" s="64"/>
      <c r="D32" s="64"/>
      <c r="E32" s="64"/>
      <c r="F32" s="64"/>
      <c r="G32" s="64"/>
      <c r="I32" s="64"/>
      <c r="M32" s="64"/>
      <c r="BU32" s="1"/>
      <c r="BV32" s="1"/>
      <c r="BW32" s="1"/>
    </row>
    <row r="33" spans="1:76" s="64" customFormat="1" ht="15.5" x14ac:dyDescent="0.35">
      <c r="A33" s="1"/>
      <c r="B33" s="61" t="s">
        <v>99</v>
      </c>
      <c r="C33" s="1"/>
      <c r="D33" s="1"/>
      <c r="E33" s="1"/>
      <c r="F33" s="1"/>
    </row>
    <row r="34" spans="1:76" s="12" customFormat="1" x14ac:dyDescent="0.35">
      <c r="A34" s="1"/>
      <c r="B34" s="1"/>
      <c r="C34" s="1"/>
      <c r="D34" s="1"/>
      <c r="E34" s="1"/>
      <c r="F34" s="1"/>
      <c r="G34" s="64"/>
      <c r="H34" s="64"/>
      <c r="I34" s="64"/>
      <c r="J34" s="64"/>
      <c r="K34" s="64" t="s">
        <v>128</v>
      </c>
      <c r="L34" s="64"/>
      <c r="M34" s="64"/>
      <c r="N34" s="64"/>
      <c r="O34" s="64"/>
      <c r="P34" s="64"/>
      <c r="Q34" s="64"/>
      <c r="R34" s="64"/>
      <c r="S34" s="64"/>
      <c r="T34" s="64"/>
      <c r="U34" s="64"/>
      <c r="V34" s="64"/>
      <c r="W34" s="64"/>
      <c r="X34" s="64"/>
      <c r="Y34" s="64"/>
      <c r="Z34" s="64"/>
      <c r="AA34" s="64"/>
      <c r="AB34" s="64"/>
      <c r="AC34" s="64"/>
      <c r="AD34" s="64"/>
      <c r="AE34" s="64"/>
      <c r="AF34" s="64"/>
      <c r="AG34" s="64"/>
      <c r="AH34" s="64"/>
      <c r="AI34" s="64"/>
      <c r="AJ34" s="64"/>
      <c r="AK34" s="64"/>
      <c r="AL34" s="64"/>
      <c r="AM34" s="64"/>
      <c r="AN34" s="64"/>
      <c r="AO34" s="64"/>
      <c r="AP34" s="64"/>
      <c r="AQ34" s="64"/>
      <c r="AR34" s="64"/>
      <c r="AS34" s="64"/>
      <c r="AT34" s="64"/>
      <c r="AU34" s="64"/>
      <c r="AV34" s="64"/>
      <c r="AW34" s="64"/>
      <c r="AX34" s="64"/>
      <c r="AY34" s="64"/>
      <c r="AZ34" s="64"/>
      <c r="BA34" s="64"/>
      <c r="BB34" s="64"/>
      <c r="BC34" s="64"/>
      <c r="BD34" s="64"/>
      <c r="BE34" s="64"/>
      <c r="BF34" s="64"/>
      <c r="BG34" s="64"/>
      <c r="BH34" s="64"/>
      <c r="BI34" s="64"/>
      <c r="BJ34" s="64"/>
      <c r="BK34" s="64"/>
      <c r="BL34" s="64"/>
      <c r="BM34" s="64"/>
      <c r="BN34" s="64"/>
      <c r="BO34" s="64"/>
      <c r="BP34" s="64"/>
      <c r="BQ34" s="64"/>
      <c r="BR34" s="64"/>
      <c r="BS34" s="64"/>
      <c r="BT34" s="64"/>
    </row>
    <row r="35" spans="1:76" s="12" customFormat="1" ht="26.5" x14ac:dyDescent="0.35">
      <c r="A35" s="1"/>
      <c r="B35" s="102" t="s">
        <v>84</v>
      </c>
      <c r="C35" s="102" t="s">
        <v>85</v>
      </c>
      <c r="D35" s="1"/>
      <c r="E35" s="1"/>
      <c r="F35" s="1"/>
      <c r="G35" s="64"/>
      <c r="H35" s="115"/>
      <c r="I35" s="64"/>
      <c r="J35" s="64"/>
      <c r="K35" s="56" t="s">
        <v>100</v>
      </c>
      <c r="L35" s="57" t="s">
        <v>150</v>
      </c>
      <c r="M35" s="57" t="s">
        <v>102</v>
      </c>
      <c r="N35" s="57" t="s">
        <v>151</v>
      </c>
      <c r="O35" s="58">
        <v>2018</v>
      </c>
      <c r="P35" s="59">
        <v>2030</v>
      </c>
      <c r="Q35" s="59">
        <v>2040</v>
      </c>
      <c r="R35" s="64"/>
      <c r="S35" s="64"/>
      <c r="T35" s="64"/>
      <c r="U35" s="64"/>
      <c r="V35" s="64"/>
      <c r="W35" s="64"/>
      <c r="X35" s="64"/>
      <c r="Y35" s="64"/>
      <c r="Z35" s="64"/>
      <c r="AA35" s="64"/>
      <c r="AB35" s="64"/>
      <c r="AC35" s="64"/>
      <c r="AD35" s="64"/>
      <c r="AE35" s="64"/>
      <c r="AF35" s="64"/>
      <c r="AG35" s="64"/>
      <c r="AH35" s="64"/>
      <c r="AI35" s="64"/>
      <c r="AJ35" s="64"/>
      <c r="AK35" s="64"/>
      <c r="AL35" s="64"/>
      <c r="AM35" s="64"/>
      <c r="AN35" s="64"/>
      <c r="AO35" s="64"/>
      <c r="AP35" s="64"/>
      <c r="AQ35" s="64"/>
      <c r="AR35" s="64"/>
      <c r="AS35" s="64"/>
      <c r="AT35" s="64"/>
      <c r="AU35" s="64"/>
      <c r="AV35" s="64"/>
      <c r="AW35" s="64"/>
      <c r="AX35" s="64"/>
      <c r="AY35" s="64"/>
      <c r="AZ35" s="64"/>
      <c r="BA35" s="64"/>
      <c r="BB35" s="64"/>
      <c r="BC35" s="64"/>
      <c r="BD35" s="64"/>
      <c r="BE35" s="64"/>
      <c r="BF35" s="64"/>
      <c r="BG35" s="64"/>
      <c r="BH35" s="64"/>
      <c r="BI35" s="64"/>
      <c r="BJ35" s="64"/>
      <c r="BK35" s="64"/>
      <c r="BL35" s="64"/>
      <c r="BM35" s="64"/>
      <c r="BN35" s="64"/>
      <c r="BO35" s="64"/>
      <c r="BP35" s="64"/>
      <c r="BQ35" s="64"/>
      <c r="BR35" s="64"/>
      <c r="BS35" s="64"/>
      <c r="BT35" s="64"/>
    </row>
    <row r="36" spans="1:76" s="12" customFormat="1" x14ac:dyDescent="0.35">
      <c r="A36" s="1"/>
      <c r="B36" s="105" t="s">
        <v>104</v>
      </c>
      <c r="C36" s="108">
        <f>IF($H$13&lt;2030,FORECAST($H$13,O36:P36,$O$35:$P$35),FORECAST($H$13,P36:Q36,$P$35:$Q$35))</f>
        <v>14163.40716666667</v>
      </c>
      <c r="D36" s="1"/>
      <c r="E36" s="1"/>
      <c r="F36" s="1"/>
      <c r="G36" s="64"/>
      <c r="H36" s="120">
        <f>C36</f>
        <v>14163.40716666667</v>
      </c>
      <c r="I36" s="64"/>
      <c r="J36" s="64"/>
      <c r="K36" s="53" t="s">
        <v>105</v>
      </c>
      <c r="L36" s="54" t="s">
        <v>106</v>
      </c>
      <c r="M36" s="98">
        <v>35</v>
      </c>
      <c r="N36" s="54" t="s">
        <v>107</v>
      </c>
      <c r="O36" s="55">
        <f>IF(L36="CO2eq",VLOOKUP(M36,'Emission Factors'!$G$3:$J$18,MATCH(K36,'Emission Factors'!$G$2:$J$2,0),0),IF(L36="CO",VLOOKUP($M36,'Emission Factors'!$G$19:$J$34,MATCH(K36,'Emission Factors'!$G$2:$J$2,0),0),IF(L36="PM2.5",VLOOKUP(M36,'Emission Factors'!$G$35:$J$50,MATCH(K36,'Emission Factors'!$G$2:$J$2,0),0),IF(L36="NOx",VLOOKUP(M36,'Emission Factors'!$G$51:$J$66,MATCH(K36,'Emission Factors'!$G$2:$J$2,0),0),VLOOKUP(M36,'Emission Factors'!$G$67:$J$82,MATCH(K36,'Emission Factors'!$G$2:$J$2,0),0)))))</f>
        <v>345.99299999999999</v>
      </c>
      <c r="P36" s="155">
        <f>IF($L36="CO2eq",VLOOKUP($M36,'Emission Factors'!$G$88:$J$103,MATCH($K36,'Emission Factors'!$G$87:$J$87,0),0),IF(L36="CO",VLOOKUP($M36,'Emission Factors'!$G$104:$J$119,MATCH(K36,'Emission Factors'!$G$2:$J$2,0),0),IF(L36="PM2.5",VLOOKUP(M36,'Emission Factors'!$G$120:$J$135,MATCH(K36,'Emission Factors'!$G$2:$J$2,0),0),IF(L36="NOx",VLOOKUP(M36,'Emission Factors'!$G$136:$J$151,MATCH(K36,'Emission Factors'!$G$2:$J$2,0),0),VLOOKUP(M36,'Emission Factors'!$G$152:$J$167,MATCH(K36,'Emission Factors'!$G$2:$J$2,0),0)))))</f>
        <v>263.82799999999997</v>
      </c>
      <c r="Q36" s="479">
        <f>IF($L36="CO2eq",VLOOKUP($M36, 'Emission Factors'!G179:J194,MATCH($K36,'Emission Factors'!$G$2:$J$2,0),0),IF(L36="CO",VLOOKUP($M36, 'Emission Factors'!$G$189:$J$204,MATCH(K36,'Emission Factors'!$G$2:$J$2,0),0),IF(L36="PM2.5",VLOOKUP(M36, 'Emission Factors'!$G$205:$J$220,MATCH(K36,'Emission Factors'!$G$2:$J$2,0),0),IF(L36="NOx",VLOOKUP(M36, 'Emission Factors'!$G$221:$J$236,MATCH(K36,'Emission Factors'!$G$2:$J$2,0),0),VLOOKUP(M36, 'Emission Factors'!$G$237:$J$252,MATCH(K36,'Emission Factors'!$G$2:$J$2,0),0)))))</f>
        <v>238.08</v>
      </c>
      <c r="R36" s="64"/>
      <c r="S36" s="64"/>
      <c r="T36" s="64"/>
      <c r="U36" s="64"/>
      <c r="V36" s="64"/>
      <c r="W36" s="64"/>
      <c r="X36" s="64"/>
      <c r="Y36" s="64"/>
      <c r="Z36" s="64"/>
      <c r="AA36" s="64"/>
      <c r="AB36" s="64"/>
      <c r="AC36" s="64"/>
      <c r="AD36" s="64"/>
      <c r="AE36" s="64"/>
      <c r="AF36" s="64"/>
      <c r="AG36" s="64"/>
      <c r="AH36" s="64"/>
      <c r="AI36" s="64"/>
      <c r="AJ36" s="64"/>
      <c r="AK36" s="64"/>
      <c r="AL36" s="64"/>
      <c r="AM36" s="64"/>
      <c r="AN36" s="64"/>
      <c r="AO36" s="64"/>
      <c r="AP36" s="64"/>
      <c r="AQ36" s="64"/>
      <c r="AR36" s="64"/>
      <c r="AS36" s="64"/>
      <c r="AT36" s="64"/>
      <c r="AU36" s="64"/>
      <c r="AV36" s="64"/>
      <c r="AW36" s="64"/>
      <c r="AX36" s="64"/>
      <c r="AY36" s="64"/>
      <c r="AZ36" s="64"/>
      <c r="BA36" s="64"/>
      <c r="BB36" s="64"/>
      <c r="BC36" s="64"/>
      <c r="BD36" s="64"/>
      <c r="BE36" s="64"/>
      <c r="BF36" s="64"/>
      <c r="BG36" s="64"/>
      <c r="BH36" s="64"/>
      <c r="BI36" s="64"/>
      <c r="BJ36" s="64"/>
      <c r="BK36" s="64"/>
      <c r="BL36" s="64"/>
      <c r="BM36" s="64"/>
      <c r="BN36" s="64"/>
      <c r="BO36" s="64"/>
      <c r="BP36" s="64"/>
      <c r="BQ36" s="64"/>
      <c r="BR36" s="64"/>
      <c r="BS36" s="64"/>
      <c r="BT36" s="64"/>
    </row>
    <row r="37" spans="1:76" s="12" customFormat="1" x14ac:dyDescent="0.35">
      <c r="A37" s="1"/>
      <c r="B37" s="105" t="s">
        <v>108</v>
      </c>
      <c r="C37" s="108">
        <f t="shared" ref="C37:C40" si="3">IF($H$13&lt;2030,FORECAST($H$13,O37:P37,$O$35:$P$35),FORECAST($H$13,P37:Q37,$P$35:$Q$35))</f>
        <v>248.39519333333331</v>
      </c>
      <c r="D37" s="1"/>
      <c r="E37" s="1"/>
      <c r="F37" s="1"/>
      <c r="G37" s="64"/>
      <c r="H37" s="120">
        <f t="shared" ref="H37:H40" si="4">C37</f>
        <v>248.39519333333331</v>
      </c>
      <c r="I37" s="64"/>
      <c r="J37" s="64"/>
      <c r="K37" s="48" t="s">
        <v>105</v>
      </c>
      <c r="L37" s="45" t="s">
        <v>109</v>
      </c>
      <c r="M37" s="99">
        <v>35</v>
      </c>
      <c r="N37" s="45" t="s">
        <v>107</v>
      </c>
      <c r="O37" s="46">
        <f>IF(L37="CO2eq",VLOOKUP(M37,'Emission Factors'!$G$3:$J$18,MATCH(K37,'Emission Factors'!$G$2:$J$2,0),0),IF(L37="CO",VLOOKUP($M37,'Emission Factors'!$G$19:$J$34,MATCH(K37,'Emission Factors'!$G$2:$J$2,0),0),IF(L37="PM2.5",VLOOKUP(M37,'Emission Factors'!$G$35:$J$50,MATCH(K37,'Emission Factors'!$G$2:$J$2,0),0),IF(L37="NOx",VLOOKUP(M37,'Emission Factors'!$G$51:$J$66,MATCH(K37,'Emission Factors'!$G$2:$J$2,0),0),VLOOKUP(M37,'Emission Factors'!$G$67:$J$82,MATCH(K37,'Emission Factors'!$G$2:$J$2,0),0)))))</f>
        <v>2.8012299999999999</v>
      </c>
      <c r="P37" s="156">
        <f>IF($L37="CO2eq",VLOOKUP($M37,'Emission Factors'!$G$88:$J$103,MATCH($K37,'Emission Factors'!$G$87:$J$87,0),0),IF(L37="CO",VLOOKUP($M37,'Emission Factors'!$G$104:$J$119,MATCH(K37,'Emission Factors'!$G$2:$J$2,0),0),IF(L37="PM2.5",VLOOKUP(M37,'Emission Factors'!$G$120:$J$135,MATCH(K37,'Emission Factors'!$G$2:$J$2,0),0),IF(L37="NOx",VLOOKUP(M37,'Emission Factors'!$G$136:$J$151,MATCH(K37,'Emission Factors'!$G$2:$J$2,0),0),VLOOKUP(M37,'Emission Factors'!$G$152:$J$167,MATCH(K37,'Emission Factors'!$G$2:$J$2,0),0)))))</f>
        <v>1.3408100000000001</v>
      </c>
      <c r="Q37" s="480">
        <f>IF($L37="CO2eq",VLOOKUP($M37, 'Emission Factors'!G180:J195,MATCH($K37,'Emission Factors'!$G$2:$J$2,0),0),IF(L37="CO",VLOOKUP($M37, 'Emission Factors'!$G$189:$J$204,MATCH(K37,'Emission Factors'!$G$2:$J$2,0),0),IF(L37="PM2.5",VLOOKUP(M37, 'Emission Factors'!$G$205:$J$220,MATCH(K37,'Emission Factors'!$G$2:$J$2,0),0),IF(L37="NOx",VLOOKUP(M37, 'Emission Factors'!$G$221:$J$236,MATCH(K37,'Emission Factors'!$G$2:$J$2,0),0),VLOOKUP(M37, 'Emission Factors'!$G$237:$J$252,MATCH(K37,'Emission Factors'!$G$2:$J$2,0),0)))))</f>
        <v>0.96630300000000002</v>
      </c>
      <c r="R37" s="64"/>
      <c r="S37" s="64"/>
      <c r="T37" s="64"/>
      <c r="U37" s="64"/>
      <c r="V37" s="64"/>
      <c r="W37" s="64"/>
      <c r="X37" s="64"/>
      <c r="Y37" s="64"/>
      <c r="Z37" s="64"/>
      <c r="AA37" s="64"/>
      <c r="AB37" s="64"/>
      <c r="AC37" s="64"/>
      <c r="AD37" s="64"/>
      <c r="AE37" s="64"/>
      <c r="AF37" s="64"/>
      <c r="AG37" s="64"/>
      <c r="AH37" s="64"/>
      <c r="AI37" s="64"/>
      <c r="AJ37" s="64"/>
      <c r="AK37" s="64"/>
      <c r="AL37" s="64"/>
      <c r="AM37" s="64"/>
      <c r="AN37" s="64"/>
      <c r="AO37" s="64"/>
      <c r="AP37" s="64"/>
      <c r="AQ37" s="64"/>
      <c r="AR37" s="64"/>
      <c r="AS37" s="64"/>
      <c r="AT37" s="64"/>
      <c r="AU37" s="64"/>
      <c r="AV37" s="64"/>
      <c r="AW37" s="64"/>
      <c r="AX37" s="64"/>
      <c r="AY37" s="64"/>
      <c r="AZ37" s="64"/>
      <c r="BA37" s="64"/>
      <c r="BB37" s="64"/>
      <c r="BC37" s="64"/>
      <c r="BD37" s="64"/>
      <c r="BE37" s="64"/>
      <c r="BF37" s="64"/>
      <c r="BG37" s="64"/>
      <c r="BH37" s="64"/>
      <c r="BI37" s="64"/>
      <c r="BJ37" s="64"/>
      <c r="BK37" s="64"/>
      <c r="BL37" s="64"/>
      <c r="BM37" s="64"/>
      <c r="BN37" s="64"/>
      <c r="BO37" s="64"/>
      <c r="BP37" s="64"/>
      <c r="BQ37" s="64"/>
      <c r="BR37" s="64"/>
      <c r="BS37" s="64"/>
      <c r="BT37" s="64"/>
    </row>
    <row r="38" spans="1:76" s="12" customFormat="1" x14ac:dyDescent="0.35">
      <c r="A38" s="1"/>
      <c r="B38" s="105" t="s">
        <v>110</v>
      </c>
      <c r="C38" s="108">
        <f t="shared" si="3"/>
        <v>0.41422921833333326</v>
      </c>
      <c r="D38" s="1"/>
      <c r="E38" s="1"/>
      <c r="F38" s="1"/>
      <c r="G38" s="64"/>
      <c r="H38" s="120">
        <f t="shared" si="4"/>
        <v>0.41422921833333326</v>
      </c>
      <c r="I38" s="64"/>
      <c r="J38" s="64"/>
      <c r="K38" s="48" t="s">
        <v>105</v>
      </c>
      <c r="L38" s="45" t="s">
        <v>111</v>
      </c>
      <c r="M38" s="99">
        <v>35</v>
      </c>
      <c r="N38" s="45" t="s">
        <v>107</v>
      </c>
      <c r="O38" s="46">
        <f>IF(L38="CO2eq",VLOOKUP(M38,'Emission Factors'!$G$3:$J$18,MATCH(K38,'Emission Factors'!$G$2:$J$2,0),0),IF(L38="CO",VLOOKUP($M38,'Emission Factors'!$G$19:$J$34,MATCH(K38,'Emission Factors'!$G$2:$J$2,0),0),IF(L38="PM2.5",VLOOKUP(M38,'Emission Factors'!$G$35:$J$50,MATCH(K38,'Emission Factors'!$G$2:$J$2,0),0),IF(L38="NOx",VLOOKUP(M38,'Emission Factors'!$G$51:$J$66,MATCH(K38,'Emission Factors'!$G$2:$J$2,0),0),VLOOKUP(M38,'Emission Factors'!$G$67:$J$82,MATCH(K38,'Emission Factors'!$G$2:$J$2,0),0)))))</f>
        <v>3.88069E-3</v>
      </c>
      <c r="P38" s="156">
        <f>IF($L38="CO2eq",VLOOKUP($M38,'Emission Factors'!$G$88:$J$103,MATCH($K38,'Emission Factors'!$G$87:$J$87,0),0),IF(L38="CO",VLOOKUP($M38,'Emission Factors'!$G$104:$J$119,MATCH(K38,'Emission Factors'!$G$2:$J$2,0),0),IF(L38="PM2.5",VLOOKUP(M38,'Emission Factors'!$G$120:$J$135,MATCH(K38,'Emission Factors'!$G$2:$J$2,0),0),IF(L38="NOx",VLOOKUP(M38,'Emission Factors'!$G$136:$J$151,MATCH(K38,'Emission Factors'!$G$2:$J$2,0),0),VLOOKUP(M38,'Emission Factors'!$G$152:$J$167,MATCH(K38,'Emission Factors'!$G$2:$J$2,0),0)))))</f>
        <v>1.44056E-3</v>
      </c>
      <c r="Q38" s="480">
        <f>IF($L38="CO2eq",VLOOKUP($M38, 'Emission Factors'!G181:J196,MATCH($K38,'Emission Factors'!$G$2:$J$2,0),0),IF(L38="CO",VLOOKUP($M38, 'Emission Factors'!$G$189:$J$204,MATCH(K38,'Emission Factors'!$G$2:$J$2,0),0),IF(L38="PM2.5",VLOOKUP(M38, 'Emission Factors'!$G$205:$J$220,MATCH(K38,'Emission Factors'!$G$2:$J$2,0),0),IF(L38="NOx",VLOOKUP(M38, 'Emission Factors'!$G$221:$J$236,MATCH(K38,'Emission Factors'!$G$2:$J$2,0),0),VLOOKUP(M38, 'Emission Factors'!$G$237:$J$252,MATCH(K38,'Emission Factors'!$G$2:$J$2,0),0)))))</f>
        <v>1.0138199999999999E-3</v>
      </c>
      <c r="R38" s="64"/>
      <c r="S38" s="64"/>
      <c r="T38" s="64"/>
      <c r="U38" s="64"/>
      <c r="V38" s="64"/>
      <c r="W38" s="64"/>
      <c r="X38" s="64"/>
      <c r="Y38" s="64"/>
      <c r="Z38" s="64"/>
      <c r="AA38" s="64"/>
      <c r="AB38" s="64"/>
      <c r="AC38" s="64"/>
      <c r="AD38" s="64"/>
      <c r="AE38" s="64"/>
      <c r="AF38" s="64"/>
      <c r="AG38" s="64"/>
      <c r="AH38" s="64"/>
      <c r="AI38" s="64"/>
      <c r="AJ38" s="64"/>
      <c r="AK38" s="64"/>
      <c r="AL38" s="64"/>
      <c r="AM38" s="64"/>
      <c r="AN38" s="64"/>
      <c r="AO38" s="64"/>
      <c r="AP38" s="64"/>
      <c r="AQ38" s="64"/>
      <c r="AR38" s="64"/>
      <c r="AS38" s="64"/>
      <c r="AT38" s="64"/>
      <c r="AU38" s="64"/>
      <c r="AV38" s="64"/>
      <c r="AW38" s="64"/>
      <c r="AX38" s="64"/>
      <c r="AY38" s="64"/>
      <c r="AZ38" s="64"/>
      <c r="BA38" s="64"/>
      <c r="BB38" s="64"/>
      <c r="BC38" s="64"/>
      <c r="BD38" s="64"/>
      <c r="BE38" s="64"/>
      <c r="BF38" s="64"/>
      <c r="BG38" s="64"/>
      <c r="BH38" s="64"/>
      <c r="BI38" s="64"/>
      <c r="BJ38" s="64"/>
      <c r="BK38" s="64"/>
      <c r="BL38" s="64"/>
      <c r="BM38" s="64"/>
      <c r="BN38" s="64"/>
      <c r="BO38" s="64"/>
      <c r="BP38" s="64"/>
      <c r="BQ38" s="64"/>
      <c r="BR38" s="64"/>
      <c r="BS38" s="64"/>
      <c r="BT38" s="64"/>
    </row>
    <row r="39" spans="1:76" s="12" customFormat="1" x14ac:dyDescent="0.35">
      <c r="A39" s="1"/>
      <c r="B39" s="105" t="s">
        <v>112</v>
      </c>
      <c r="C39" s="108">
        <f t="shared" si="3"/>
        <v>41.369416749999992</v>
      </c>
      <c r="D39" s="1"/>
      <c r="E39" s="1"/>
      <c r="F39" s="1"/>
      <c r="G39" s="64"/>
      <c r="H39" s="120">
        <f t="shared" si="4"/>
        <v>41.369416749999992</v>
      </c>
      <c r="I39" s="64"/>
      <c r="J39" s="64"/>
      <c r="K39" s="48" t="s">
        <v>105</v>
      </c>
      <c r="L39" s="45" t="s">
        <v>113</v>
      </c>
      <c r="M39" s="99">
        <v>35</v>
      </c>
      <c r="N39" s="45" t="s">
        <v>107</v>
      </c>
      <c r="O39" s="46">
        <f>IF(L39="CO2eq",VLOOKUP(M39,'Emission Factors'!$G$3:$J$18,MATCH(K39,'Emission Factors'!$G$2:$J$2,0),0),IF(L39="CO",VLOOKUP($M39,'Emission Factors'!$G$19:$J$34,MATCH(K39,'Emission Factors'!$G$2:$J$2,0),0),IF(L39="PM2.5",VLOOKUP(M39,'Emission Factors'!$G$35:$J$50,MATCH(K39,'Emission Factors'!$G$2:$J$2,0),0),IF(L39="NOx",VLOOKUP(M39,'Emission Factors'!$G$51:$J$66,MATCH(K39,'Emission Factors'!$G$2:$J$2,0),0),VLOOKUP(M39,'Emission Factors'!$G$67:$J$82,MATCH(K39,'Emission Factors'!$G$2:$J$2,0),0)))))</f>
        <v>0.31547700000000001</v>
      </c>
      <c r="P39" s="156">
        <f>IF($L39="CO2eq",VLOOKUP($M39,'Emission Factors'!$G$88:$J$103,MATCH($K39,'Emission Factors'!$G$87:$J$87,0),0),IF(L39="CO",VLOOKUP($M39,'Emission Factors'!$G$104:$J$119,MATCH(K39,'Emission Factors'!$G$2:$J$2,0),0),IF(L39="PM2.5",VLOOKUP(M39,'Emission Factors'!$G$120:$J$135,MATCH(K39,'Emission Factors'!$G$2:$J$2,0),0),IF(L39="NOx",VLOOKUP(M39,'Emission Factors'!$G$136:$J$151,MATCH(K39,'Emission Factors'!$G$2:$J$2,0),0),VLOOKUP(M39,'Emission Factors'!$G$152:$J$167,MATCH(K39,'Emission Factors'!$G$2:$J$2,0),0)))))</f>
        <v>7.1350499999999997E-2</v>
      </c>
      <c r="Q39" s="480">
        <f>IF($L39="CO2eq",VLOOKUP($M39, 'Emission Factors'!G182:J197,MATCH($K39,'Emission Factors'!$G$2:$J$2,0),0),IF(L39="CO",VLOOKUP($M39, 'Emission Factors'!$G$189:$J$204,MATCH(K39,'Emission Factors'!$G$2:$J$2,0),0),IF(L39="PM2.5",VLOOKUP(M39, 'Emission Factors'!$G$205:$J$220,MATCH(K39,'Emission Factors'!$G$2:$J$2,0),0),IF(L39="NOx",VLOOKUP(M39, 'Emission Factors'!$G$221:$J$236,MATCH(K39,'Emission Factors'!$G$2:$J$2,0),0),VLOOKUP(M39, 'Emission Factors'!$G$237:$J$252,MATCH(K39,'Emission Factors'!$G$2:$J$2,0),0)))))</f>
        <v>1.9481600000000002E-2</v>
      </c>
      <c r="R39" s="64"/>
      <c r="S39" s="64"/>
      <c r="T39" s="64"/>
      <c r="U39" s="64"/>
      <c r="V39" s="64"/>
      <c r="W39" s="64"/>
      <c r="X39" s="64"/>
      <c r="Y39" s="64"/>
      <c r="Z39" s="64"/>
      <c r="AA39" s="64"/>
      <c r="AB39" s="64"/>
      <c r="AC39" s="64"/>
      <c r="AD39" s="64"/>
      <c r="AE39" s="64"/>
      <c r="AF39" s="64"/>
      <c r="AG39" s="64"/>
      <c r="AH39" s="64"/>
      <c r="AI39" s="64"/>
      <c r="AJ39" s="64"/>
      <c r="AK39" s="64"/>
      <c r="AL39" s="64"/>
      <c r="AM39" s="64"/>
      <c r="AN39" s="64"/>
      <c r="AO39" s="64"/>
      <c r="AP39" s="64"/>
      <c r="AQ39" s="64"/>
      <c r="AR39" s="64"/>
      <c r="AS39" s="64"/>
      <c r="AT39" s="64"/>
      <c r="AU39" s="64"/>
      <c r="AV39" s="64"/>
      <c r="AW39" s="64"/>
      <c r="AX39" s="64"/>
      <c r="AY39" s="64"/>
      <c r="AZ39" s="64"/>
      <c r="BA39" s="64"/>
      <c r="BB39" s="64"/>
      <c r="BC39" s="64"/>
      <c r="BD39" s="64"/>
      <c r="BE39" s="64"/>
      <c r="BF39" s="64"/>
      <c r="BG39" s="64"/>
      <c r="BH39" s="64"/>
      <c r="BI39" s="64"/>
      <c r="BJ39" s="64"/>
      <c r="BK39" s="64"/>
      <c r="BL39" s="64"/>
      <c r="BM39" s="64"/>
      <c r="BN39" s="64"/>
      <c r="BO39" s="64"/>
      <c r="BP39" s="64"/>
      <c r="BQ39" s="64"/>
      <c r="BR39" s="64"/>
      <c r="BS39" s="64"/>
      <c r="BT39" s="64"/>
    </row>
    <row r="40" spans="1:76" s="12" customFormat="1" x14ac:dyDescent="0.35">
      <c r="A40" s="1"/>
      <c r="B40" s="105" t="s">
        <v>114</v>
      </c>
      <c r="C40" s="108">
        <f t="shared" si="3"/>
        <v>8.1845177833333356</v>
      </c>
      <c r="D40" s="1"/>
      <c r="E40" s="1"/>
      <c r="F40" s="1"/>
      <c r="G40" s="64"/>
      <c r="H40" s="120">
        <f t="shared" si="4"/>
        <v>8.1845177833333356</v>
      </c>
      <c r="I40" s="64"/>
      <c r="J40" s="64"/>
      <c r="K40" s="49" t="s">
        <v>105</v>
      </c>
      <c r="L40" s="50" t="s">
        <v>115</v>
      </c>
      <c r="M40" s="51">
        <v>35</v>
      </c>
      <c r="N40" s="50" t="s">
        <v>107</v>
      </c>
      <c r="O40" s="52">
        <f>IF(L40="CO2eq",VLOOKUP(M40,'Emission Factors'!$G$3:$J$18,MATCH(K40,'Emission Factors'!$G$2:$J$2,0),0),IF(L40="CO",VLOOKUP($M40,'Emission Factors'!$G$19:$J$34,MATCH(K40,'Emission Factors'!$G$2:$J$2,0),0),IF(L40="PM2.5",VLOOKUP(M40,'Emission Factors'!$G$35:$J$50,MATCH(K40,'Emission Factors'!$G$2:$J$2,0),0),IF(L40="NOx",VLOOKUP(M40,'Emission Factors'!$G$51:$J$66,MATCH(K40,'Emission Factors'!$G$2:$J$2,0),0),VLOOKUP(M40,'Emission Factors'!$G$67:$J$82,MATCH(K40,'Emission Factors'!$G$2:$J$2,0),0)))))</f>
        <v>6.5010700000000005E-2</v>
      </c>
      <c r="P40" s="157">
        <f>IF($L40="CO2eq",VLOOKUP($M40,'Emission Factors'!$G$88:$J$103,MATCH($K40,'Emission Factors'!$G$87:$J$87,0),0),IF(L40="CO",VLOOKUP($M40,'Emission Factors'!$G$104:$J$119,MATCH(K40,'Emission Factors'!$G$2:$J$2,0),0),IF(L40="PM2.5",VLOOKUP(M40,'Emission Factors'!$G$120:$J$135,MATCH(K40,'Emission Factors'!$G$2:$J$2,0),0),IF(L40="NOx",VLOOKUP(M40,'Emission Factors'!$G$136:$J$151,MATCH(K40,'Emission Factors'!$G$2:$J$2,0),0),VLOOKUP(M40,'Emission Factors'!$G$152:$J$167,MATCH(K40,'Emission Factors'!$G$2:$J$2,0),0)))))</f>
        <v>1.6728199999999999E-2</v>
      </c>
      <c r="Q40" s="481">
        <f>IF($L40="CO2eq",VLOOKUP($M40, 'Emission Factors'!G183:J198,MATCH($K40,'Emission Factors'!$G$2:$J$2,0),0),IF(L40="CO",VLOOKUP($M40, 'Emission Factors'!$G$189:$J$204,MATCH(K40,'Emission Factors'!$G$2:$J$2,0),0),IF(L40="PM2.5",VLOOKUP(M40, 'Emission Factors'!$G$205:$J$220,MATCH(K40,'Emission Factors'!$G$2:$J$2,0),0),IF(L40="NOx",VLOOKUP(M40, 'Emission Factors'!$G$221:$J$236,MATCH(K40,'Emission Factors'!$G$2:$J$2,0),0),VLOOKUP(M40, 'Emission Factors'!$G$237:$J$252,MATCH(K40,'Emission Factors'!$G$2:$J$2,0),0)))))</f>
        <v>1.1268800000000001E-2</v>
      </c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4"/>
      <c r="BM40" s="64"/>
      <c r="BN40" s="64"/>
      <c r="BO40" s="64"/>
      <c r="BP40" s="64"/>
      <c r="BQ40" s="64"/>
      <c r="BR40" s="64"/>
      <c r="BS40" s="64"/>
      <c r="BT40" s="64"/>
    </row>
    <row r="41" spans="1:76" s="12" customFormat="1" x14ac:dyDescent="0.35">
      <c r="A41" s="1"/>
      <c r="B41" s="1"/>
      <c r="C41" s="1"/>
      <c r="D41" s="1"/>
      <c r="E41" s="1"/>
      <c r="F41" s="1"/>
      <c r="G41" s="64"/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4"/>
      <c r="AD41" s="64"/>
      <c r="AE41" s="64"/>
      <c r="AF41" s="64"/>
      <c r="AG41" s="64"/>
      <c r="AH41" s="64"/>
      <c r="AI41" s="64"/>
      <c r="AJ41" s="64"/>
      <c r="AK41" s="64"/>
      <c r="AL41" s="64"/>
      <c r="AM41" s="64"/>
      <c r="AN41" s="64"/>
      <c r="AO41" s="64"/>
      <c r="AP41" s="64"/>
      <c r="AQ41" s="64"/>
      <c r="AR41" s="64"/>
      <c r="AS41" s="64"/>
      <c r="AT41" s="64"/>
      <c r="AU41" s="64"/>
      <c r="AV41" s="64"/>
      <c r="AW41" s="64"/>
      <c r="AX41" s="64"/>
      <c r="AY41" s="64"/>
      <c r="AZ41" s="64"/>
      <c r="BA41" s="64"/>
      <c r="BB41" s="64"/>
      <c r="BC41" s="64"/>
      <c r="BD41" s="64"/>
      <c r="BE41" s="64"/>
      <c r="BF41" s="64"/>
      <c r="BG41" s="64"/>
      <c r="BH41" s="64"/>
      <c r="BI41" s="64"/>
      <c r="BJ41" s="64"/>
      <c r="BK41" s="64"/>
      <c r="BL41" s="64"/>
      <c r="BM41" s="64"/>
      <c r="BN41" s="64"/>
      <c r="BO41" s="64"/>
      <c r="BP41" s="64"/>
      <c r="BQ41" s="64"/>
      <c r="BR41" s="64"/>
      <c r="BS41" s="64"/>
      <c r="BT41" s="64"/>
    </row>
    <row r="42" spans="1:76" s="12" customFormat="1" x14ac:dyDescent="0.35">
      <c r="B42" s="64"/>
      <c r="C42" s="64"/>
      <c r="D42" s="64"/>
      <c r="E42" s="64"/>
      <c r="F42" s="64"/>
      <c r="G42" s="64"/>
      <c r="H42" s="64"/>
      <c r="I42" s="64"/>
      <c r="J42" s="64"/>
      <c r="K42" s="64"/>
      <c r="L42" s="64"/>
      <c r="M42" s="64"/>
      <c r="N42" s="64"/>
      <c r="O42" s="64"/>
      <c r="P42" s="64"/>
      <c r="Q42" s="64"/>
      <c r="R42" s="64"/>
      <c r="S42" s="64"/>
      <c r="T42" s="64"/>
      <c r="U42" s="64"/>
      <c r="V42" s="64"/>
      <c r="W42" s="64"/>
      <c r="X42" s="64"/>
      <c r="Y42" s="64"/>
      <c r="Z42" s="64"/>
      <c r="AA42" s="64"/>
      <c r="AB42" s="64"/>
      <c r="AC42" s="64"/>
      <c r="AD42" s="64"/>
      <c r="AE42" s="64"/>
      <c r="AF42" s="64"/>
      <c r="AG42" s="64"/>
      <c r="AH42" s="64"/>
      <c r="AI42" s="64"/>
      <c r="AJ42" s="64"/>
      <c r="AK42" s="64"/>
      <c r="AL42" s="64"/>
      <c r="AM42" s="64"/>
      <c r="AN42" s="64"/>
      <c r="AO42" s="64"/>
      <c r="AP42" s="64"/>
      <c r="AQ42" s="64"/>
      <c r="AR42" s="64"/>
      <c r="AS42" s="64"/>
      <c r="AT42" s="64"/>
      <c r="AU42" s="64"/>
      <c r="AV42" s="64"/>
      <c r="AW42" s="64"/>
      <c r="AX42" s="64"/>
      <c r="AY42" s="64"/>
      <c r="AZ42" s="64"/>
      <c r="BA42" s="64"/>
      <c r="BB42" s="64"/>
      <c r="BC42" s="64"/>
      <c r="BD42" s="64"/>
      <c r="BE42" s="64"/>
      <c r="BF42" s="64"/>
      <c r="BG42" s="64"/>
      <c r="BH42" s="64"/>
      <c r="BI42" s="64"/>
      <c r="BJ42" s="64"/>
      <c r="BK42" s="64"/>
      <c r="BL42" s="64"/>
      <c r="BM42" s="64"/>
      <c r="BN42" s="64"/>
      <c r="BO42" s="64"/>
      <c r="BP42" s="64"/>
      <c r="BQ42" s="64"/>
      <c r="BR42" s="64"/>
      <c r="BS42" s="64"/>
      <c r="BT42" s="64"/>
      <c r="BU42" s="64"/>
      <c r="BV42" s="64"/>
      <c r="BW42" s="64"/>
      <c r="BX42" s="64"/>
    </row>
    <row r="43" spans="1:76" s="64" customFormat="1" ht="15.5" x14ac:dyDescent="0.35">
      <c r="A43" s="1"/>
      <c r="B43" s="61" t="s">
        <v>116</v>
      </c>
      <c r="C43" s="1"/>
      <c r="D43" s="1"/>
      <c r="E43" s="60"/>
      <c r="F43" s="60"/>
    </row>
    <row r="44" spans="1:76" s="60" customFormat="1" x14ac:dyDescent="0.35">
      <c r="B44" s="102" t="s">
        <v>84</v>
      </c>
      <c r="C44" s="102" t="s">
        <v>85</v>
      </c>
      <c r="G44" s="64"/>
      <c r="H44" s="115"/>
      <c r="I44" s="64"/>
      <c r="J44" s="65"/>
      <c r="K44" s="64"/>
      <c r="L44" s="64"/>
      <c r="M44" s="64"/>
      <c r="N44" s="64"/>
      <c r="O44" s="64"/>
      <c r="P44" s="64"/>
      <c r="Q44" s="64"/>
      <c r="R44" s="64"/>
      <c r="S44" s="64"/>
      <c r="T44" s="64"/>
      <c r="U44" s="64"/>
      <c r="V44" s="64"/>
      <c r="W44" s="64"/>
      <c r="X44" s="64"/>
      <c r="Y44" s="64"/>
      <c r="Z44" s="64"/>
      <c r="AA44" s="64"/>
      <c r="AB44" s="64"/>
      <c r="AC44" s="64"/>
      <c r="AD44" s="64"/>
      <c r="AE44" s="64"/>
      <c r="AF44" s="64"/>
      <c r="AG44" s="64"/>
      <c r="AH44" s="64"/>
      <c r="AI44" s="65"/>
      <c r="AJ44" s="65"/>
      <c r="AK44" s="65"/>
      <c r="AL44" s="65"/>
      <c r="AM44" s="65"/>
      <c r="AN44" s="65"/>
      <c r="AO44" s="65"/>
      <c r="AP44" s="65"/>
      <c r="AQ44" s="65"/>
      <c r="AR44" s="65"/>
      <c r="AS44" s="65"/>
      <c r="AT44" s="65"/>
      <c r="AU44" s="65"/>
      <c r="AV44" s="65"/>
      <c r="AW44" s="65"/>
      <c r="AX44" s="65"/>
      <c r="AY44" s="65"/>
      <c r="AZ44" s="65"/>
      <c r="BA44" s="65"/>
      <c r="BB44" s="65"/>
      <c r="BC44" s="65"/>
      <c r="BD44" s="65"/>
      <c r="BE44" s="65"/>
      <c r="BF44" s="65"/>
      <c r="BG44" s="65"/>
      <c r="BH44" s="65"/>
      <c r="BI44" s="65"/>
      <c r="BJ44" s="65"/>
      <c r="BK44" s="65"/>
      <c r="BL44" s="65"/>
      <c r="BM44" s="65"/>
      <c r="BN44" s="65"/>
      <c r="BO44" s="65"/>
      <c r="BP44" s="65"/>
      <c r="BQ44" s="65"/>
      <c r="BR44" s="65"/>
      <c r="BS44" s="65"/>
      <c r="BT44" s="65"/>
      <c r="BU44" s="65"/>
      <c r="BV44" s="65"/>
    </row>
    <row r="45" spans="1:76" s="60" customFormat="1" x14ac:dyDescent="0.35">
      <c r="B45" s="112" t="s">
        <v>62</v>
      </c>
      <c r="C45" s="131" t="str">
        <f>IF(SUM(I16:I19)&gt;0,"(Error]",H30*H19)</f>
        <v>(Error]</v>
      </c>
      <c r="G45" s="64"/>
      <c r="H45" s="123" t="str">
        <f>C45</f>
        <v>(Error]</v>
      </c>
      <c r="I45" s="64"/>
      <c r="J45" s="65"/>
      <c r="K45" s="64"/>
      <c r="L45" s="64"/>
      <c r="M45" s="64"/>
      <c r="N45" s="64"/>
      <c r="O45" s="64"/>
      <c r="P45" s="64"/>
      <c r="Q45" s="64"/>
      <c r="R45" s="64"/>
      <c r="S45" s="64"/>
      <c r="T45" s="64"/>
      <c r="U45" s="64"/>
      <c r="V45" s="64"/>
      <c r="W45" s="64"/>
      <c r="X45" s="64"/>
      <c r="Y45" s="64"/>
      <c r="Z45" s="64"/>
      <c r="AA45" s="64"/>
      <c r="AB45" s="64"/>
      <c r="AC45" s="64"/>
      <c r="AD45" s="64"/>
      <c r="AE45" s="64"/>
      <c r="AF45" s="64"/>
      <c r="AG45" s="64"/>
      <c r="AH45" s="64"/>
      <c r="AI45" s="65"/>
      <c r="AJ45" s="65"/>
      <c r="AK45" s="65"/>
      <c r="AL45" s="65"/>
      <c r="AM45" s="65"/>
      <c r="AN45" s="65"/>
      <c r="AO45" s="65"/>
      <c r="AP45" s="65"/>
      <c r="AQ45" s="65"/>
      <c r="AR45" s="65"/>
      <c r="AS45" s="65"/>
      <c r="AT45" s="65"/>
      <c r="AU45" s="65"/>
      <c r="AV45" s="65"/>
      <c r="AW45" s="65"/>
      <c r="AX45" s="65"/>
      <c r="AY45" s="65"/>
      <c r="AZ45" s="65"/>
      <c r="BA45" s="65"/>
      <c r="BB45" s="65"/>
      <c r="BC45" s="65"/>
      <c r="BD45" s="65"/>
      <c r="BE45" s="65"/>
      <c r="BF45" s="65"/>
      <c r="BG45" s="65"/>
      <c r="BH45" s="65"/>
      <c r="BI45" s="65"/>
      <c r="BJ45" s="65"/>
      <c r="BK45" s="65"/>
      <c r="BL45" s="65"/>
      <c r="BM45" s="65"/>
      <c r="BN45" s="65"/>
      <c r="BO45" s="65"/>
      <c r="BP45" s="65"/>
      <c r="BQ45" s="65"/>
      <c r="BR45" s="65"/>
      <c r="BS45" s="65"/>
      <c r="BT45" s="65"/>
      <c r="BU45" s="65"/>
      <c r="BV45" s="65"/>
    </row>
    <row r="46" spans="1:76" s="60" customFormat="1" x14ac:dyDescent="0.35">
      <c r="B46" s="111" t="s">
        <v>65</v>
      </c>
      <c r="C46" s="131" t="str">
        <f>IF(SUM(I$16:I$18)&gt;0,"(Error]",H$45*H36/1000)</f>
        <v>(Error]</v>
      </c>
      <c r="G46" s="64"/>
      <c r="H46" s="123" t="str">
        <f>C46</f>
        <v>(Error]</v>
      </c>
      <c r="I46" s="64"/>
      <c r="J46" s="65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4"/>
      <c r="AC46" s="64"/>
      <c r="AD46" s="64"/>
      <c r="AE46" s="64"/>
      <c r="AF46" s="64"/>
      <c r="AG46" s="64"/>
      <c r="AH46" s="64"/>
      <c r="AI46" s="65"/>
      <c r="AJ46" s="65"/>
      <c r="AK46" s="65"/>
      <c r="AL46" s="65"/>
      <c r="AM46" s="65"/>
      <c r="AN46" s="65"/>
      <c r="AO46" s="65"/>
      <c r="AP46" s="65"/>
      <c r="AQ46" s="65"/>
      <c r="AR46" s="65"/>
      <c r="AS46" s="65"/>
      <c r="AT46" s="65"/>
      <c r="AU46" s="65"/>
      <c r="AV46" s="65"/>
      <c r="AW46" s="65"/>
      <c r="AX46" s="65"/>
      <c r="AY46" s="65"/>
      <c r="AZ46" s="65"/>
      <c r="BA46" s="65"/>
      <c r="BB46" s="65"/>
      <c r="BC46" s="65"/>
      <c r="BD46" s="65"/>
      <c r="BE46" s="65"/>
      <c r="BF46" s="65"/>
      <c r="BG46" s="65"/>
      <c r="BH46" s="65"/>
      <c r="BI46" s="65"/>
      <c r="BJ46" s="65"/>
      <c r="BK46" s="65"/>
      <c r="BL46" s="65"/>
      <c r="BM46" s="65"/>
      <c r="BN46" s="65"/>
      <c r="BO46" s="65"/>
      <c r="BP46" s="65"/>
      <c r="BQ46" s="65"/>
      <c r="BR46" s="65"/>
      <c r="BS46" s="65"/>
      <c r="BT46" s="65"/>
      <c r="BU46" s="65"/>
      <c r="BV46" s="65"/>
    </row>
    <row r="47" spans="1:76" s="60" customFormat="1" x14ac:dyDescent="0.35">
      <c r="B47" s="111" t="s">
        <v>66</v>
      </c>
      <c r="C47" s="131" t="str">
        <f>IF(SUM(I$16:I$18)&gt;0,"(Error]",H$45*H37/1000)</f>
        <v>(Error]</v>
      </c>
      <c r="G47" s="64"/>
      <c r="H47" s="123" t="str">
        <f t="shared" ref="H47:H50" si="5">C47</f>
        <v>(Error]</v>
      </c>
      <c r="I47" s="64"/>
      <c r="J47" s="65"/>
      <c r="K47" s="64"/>
      <c r="L47" s="64"/>
      <c r="M47" s="64"/>
      <c r="N47" s="64"/>
      <c r="O47" s="64"/>
      <c r="P47" s="64"/>
      <c r="Q47" s="64"/>
      <c r="R47" s="64"/>
      <c r="S47" s="64"/>
      <c r="T47" s="64"/>
      <c r="U47" s="64"/>
      <c r="V47" s="64"/>
      <c r="W47" s="64"/>
      <c r="X47" s="64"/>
      <c r="Y47" s="64"/>
      <c r="Z47" s="64"/>
      <c r="AA47" s="64"/>
      <c r="AB47" s="64"/>
      <c r="AC47" s="64"/>
      <c r="AD47" s="64"/>
      <c r="AE47" s="64"/>
      <c r="AF47" s="64"/>
      <c r="AG47" s="64"/>
      <c r="AH47" s="64"/>
      <c r="AI47" s="65"/>
      <c r="AJ47" s="65"/>
      <c r="AK47" s="65"/>
      <c r="AL47" s="65"/>
      <c r="AM47" s="65"/>
      <c r="AN47" s="65"/>
      <c r="AO47" s="65"/>
      <c r="AP47" s="65"/>
      <c r="AQ47" s="65"/>
      <c r="AR47" s="65"/>
      <c r="AS47" s="65"/>
      <c r="AT47" s="65"/>
      <c r="AU47" s="65"/>
      <c r="AV47" s="65"/>
      <c r="AW47" s="65"/>
      <c r="AX47" s="65"/>
      <c r="AY47" s="65"/>
      <c r="AZ47" s="65"/>
      <c r="BA47" s="65"/>
      <c r="BB47" s="65"/>
      <c r="BC47" s="65"/>
      <c r="BD47" s="65"/>
      <c r="BE47" s="65"/>
      <c r="BF47" s="65"/>
      <c r="BG47" s="65"/>
      <c r="BH47" s="65"/>
      <c r="BI47" s="65"/>
      <c r="BJ47" s="65"/>
      <c r="BK47" s="65"/>
      <c r="BL47" s="65"/>
      <c r="BM47" s="65"/>
      <c r="BN47" s="65"/>
      <c r="BO47" s="65"/>
      <c r="BP47" s="65"/>
      <c r="BQ47" s="65"/>
      <c r="BR47" s="65"/>
      <c r="BS47" s="65"/>
      <c r="BT47" s="65"/>
      <c r="BU47" s="65"/>
      <c r="BV47" s="65"/>
    </row>
    <row r="48" spans="1:76" s="60" customFormat="1" x14ac:dyDescent="0.35">
      <c r="B48" s="111" t="s">
        <v>67</v>
      </c>
      <c r="C48" s="131" t="str">
        <f>IF(SUM(I$16:I$18)&gt;0,"(Error]",H$45*H38/1000)</f>
        <v>(Error]</v>
      </c>
      <c r="D48" s="1"/>
      <c r="E48" s="1"/>
      <c r="F48" s="1"/>
      <c r="G48" s="64"/>
      <c r="H48" s="123" t="str">
        <f t="shared" si="5"/>
        <v>(Error]</v>
      </c>
      <c r="I48" s="64"/>
      <c r="J48" s="65"/>
      <c r="K48" s="64"/>
      <c r="L48" s="64"/>
      <c r="M48" s="64"/>
      <c r="N48" s="64"/>
      <c r="O48" s="64"/>
      <c r="P48" s="64"/>
      <c r="Q48" s="64"/>
      <c r="R48" s="64"/>
      <c r="S48" s="64"/>
      <c r="T48" s="64"/>
      <c r="U48" s="64"/>
      <c r="V48" s="64"/>
      <c r="W48" s="64"/>
      <c r="X48" s="64"/>
      <c r="Y48" s="64"/>
      <c r="Z48" s="64"/>
      <c r="AA48" s="64"/>
      <c r="AB48" s="64"/>
      <c r="AC48" s="64"/>
      <c r="AD48" s="64"/>
      <c r="AE48" s="64"/>
      <c r="AF48" s="64"/>
      <c r="AG48" s="64"/>
      <c r="AH48" s="64"/>
      <c r="AI48" s="65"/>
      <c r="AJ48" s="65"/>
      <c r="AK48" s="65"/>
      <c r="AL48" s="65"/>
      <c r="AM48" s="65"/>
      <c r="AN48" s="65"/>
      <c r="AO48" s="65"/>
      <c r="AP48" s="65"/>
      <c r="AQ48" s="65"/>
      <c r="AR48" s="65"/>
      <c r="AS48" s="65"/>
      <c r="AT48" s="65"/>
      <c r="AU48" s="65"/>
      <c r="AV48" s="65"/>
      <c r="AW48" s="65"/>
      <c r="AX48" s="65"/>
      <c r="AY48" s="65"/>
      <c r="AZ48" s="65"/>
      <c r="BA48" s="65"/>
      <c r="BB48" s="65"/>
      <c r="BC48" s="65"/>
      <c r="BD48" s="65"/>
      <c r="BE48" s="65"/>
      <c r="BF48" s="65"/>
      <c r="BG48" s="65"/>
      <c r="BH48" s="65"/>
      <c r="BI48" s="65"/>
      <c r="BJ48" s="65"/>
      <c r="BK48" s="65"/>
      <c r="BL48" s="65"/>
      <c r="BM48" s="65"/>
      <c r="BN48" s="65"/>
      <c r="BO48" s="65"/>
      <c r="BP48" s="65"/>
      <c r="BQ48" s="65"/>
      <c r="BR48" s="65"/>
      <c r="BS48" s="65"/>
      <c r="BT48" s="65"/>
      <c r="BU48" s="65"/>
      <c r="BV48" s="65"/>
    </row>
    <row r="49" spans="1:76" x14ac:dyDescent="0.35">
      <c r="B49" s="111" t="s">
        <v>68</v>
      </c>
      <c r="C49" s="131" t="str">
        <f>IF(SUM(I$16:I$18)&gt;0,"(Error]",H$45*H39/1000)</f>
        <v>(Error]</v>
      </c>
      <c r="G49" s="64"/>
      <c r="H49" s="123" t="str">
        <f t="shared" si="5"/>
        <v>(Error]</v>
      </c>
      <c r="I49" s="64"/>
      <c r="J49" s="65"/>
      <c r="M49" s="64"/>
      <c r="BW49" s="1"/>
    </row>
    <row r="50" spans="1:76" x14ac:dyDescent="0.35">
      <c r="B50" s="111" t="s">
        <v>69</v>
      </c>
      <c r="C50" s="131" t="str">
        <f>IF(SUM(I$16:I$18)&gt;0,"(Error]",H$45*H40/1000)</f>
        <v>(Error]</v>
      </c>
      <c r="G50" s="64"/>
      <c r="H50" s="123" t="str">
        <f t="shared" si="5"/>
        <v>(Error]</v>
      </c>
      <c r="I50" s="64"/>
      <c r="J50" s="65"/>
      <c r="M50" s="64"/>
      <c r="BW50" s="1"/>
    </row>
    <row r="51" spans="1:76" x14ac:dyDescent="0.35">
      <c r="G51" s="64"/>
      <c r="I51" s="64"/>
      <c r="J51" s="65"/>
      <c r="M51" s="64"/>
      <c r="BX51" s="64"/>
    </row>
    <row r="52" spans="1:76" x14ac:dyDescent="0.35">
      <c r="A52" s="64"/>
      <c r="B52" s="64"/>
      <c r="C52" s="64"/>
      <c r="D52" s="64"/>
      <c r="E52" s="64"/>
      <c r="F52" s="64"/>
      <c r="G52" s="64"/>
      <c r="I52" s="64"/>
      <c r="M52" s="64"/>
    </row>
    <row r="53" spans="1:76" s="64" customFormat="1" x14ac:dyDescent="0.35"/>
    <row r="54" spans="1:76" s="64" customFormat="1" x14ac:dyDescent="0.35"/>
    <row r="55" spans="1:76" s="64" customFormat="1" x14ac:dyDescent="0.35"/>
    <row r="56" spans="1:76" s="64" customFormat="1" x14ac:dyDescent="0.35"/>
    <row r="57" spans="1:76" s="64" customFormat="1" x14ac:dyDescent="0.35"/>
    <row r="58" spans="1:76" s="64" customFormat="1" x14ac:dyDescent="0.35"/>
    <row r="59" spans="1:76" s="64" customFormat="1" x14ac:dyDescent="0.35"/>
    <row r="60" spans="1:76" s="64" customFormat="1" x14ac:dyDescent="0.35"/>
    <row r="61" spans="1:76" s="64" customFormat="1" x14ac:dyDescent="0.35"/>
    <row r="62" spans="1:76" s="64" customFormat="1" x14ac:dyDescent="0.35"/>
    <row r="63" spans="1:76" s="64" customFormat="1" x14ac:dyDescent="0.35"/>
    <row r="64" spans="1:76" s="64" customFormat="1" x14ac:dyDescent="0.35"/>
    <row r="65" s="64" customFormat="1" x14ac:dyDescent="0.35"/>
    <row r="66" s="64" customFormat="1" x14ac:dyDescent="0.35"/>
    <row r="67" s="64" customFormat="1" x14ac:dyDescent="0.35"/>
    <row r="68" s="64" customFormat="1" x14ac:dyDescent="0.35"/>
    <row r="69" s="64" customFormat="1" x14ac:dyDescent="0.35"/>
    <row r="70" s="64" customFormat="1" x14ac:dyDescent="0.35"/>
    <row r="71" s="64" customFormat="1" x14ac:dyDescent="0.35"/>
    <row r="72" s="64" customFormat="1" x14ac:dyDescent="0.35"/>
    <row r="73" s="64" customFormat="1" x14ac:dyDescent="0.35"/>
    <row r="74" s="64" customFormat="1" x14ac:dyDescent="0.35"/>
    <row r="75" s="64" customFormat="1" x14ac:dyDescent="0.35"/>
    <row r="76" s="64" customFormat="1" x14ac:dyDescent="0.35"/>
    <row r="77" s="64" customFormat="1" x14ac:dyDescent="0.35"/>
    <row r="78" s="64" customFormat="1" x14ac:dyDescent="0.35"/>
    <row r="79" s="64" customFormat="1" x14ac:dyDescent="0.35"/>
    <row r="80" s="64" customFormat="1" x14ac:dyDescent="0.35"/>
    <row r="81" s="64" customFormat="1" x14ac:dyDescent="0.35"/>
    <row r="82" s="64" customFormat="1" x14ac:dyDescent="0.35"/>
    <row r="83" s="64" customFormat="1" x14ac:dyDescent="0.35"/>
    <row r="84" s="64" customFormat="1" x14ac:dyDescent="0.35"/>
    <row r="85" s="64" customFormat="1" x14ac:dyDescent="0.35"/>
    <row r="86" s="64" customFormat="1" x14ac:dyDescent="0.35"/>
    <row r="87" s="64" customFormat="1" x14ac:dyDescent="0.35"/>
    <row r="88" s="64" customFormat="1" x14ac:dyDescent="0.35"/>
    <row r="89" s="64" customFormat="1" x14ac:dyDescent="0.35"/>
    <row r="90" s="64" customFormat="1" x14ac:dyDescent="0.35"/>
    <row r="91" s="64" customFormat="1" x14ac:dyDescent="0.35"/>
    <row r="92" s="64" customFormat="1" x14ac:dyDescent="0.35"/>
    <row r="93" s="64" customFormat="1" x14ac:dyDescent="0.35"/>
    <row r="94" s="64" customFormat="1" x14ac:dyDescent="0.35"/>
    <row r="95" s="64" customFormat="1" x14ac:dyDescent="0.35"/>
    <row r="96" s="64" customFormat="1" x14ac:dyDescent="0.35"/>
    <row r="97" s="64" customFormat="1" x14ac:dyDescent="0.35"/>
    <row r="98" s="64" customFormat="1" x14ac:dyDescent="0.35"/>
    <row r="99" s="64" customFormat="1" x14ac:dyDescent="0.35"/>
    <row r="100" s="64" customFormat="1" x14ac:dyDescent="0.35"/>
    <row r="101" s="64" customFormat="1" x14ac:dyDescent="0.35"/>
    <row r="102" s="64" customFormat="1" x14ac:dyDescent="0.35"/>
    <row r="103" s="64" customFormat="1" x14ac:dyDescent="0.35"/>
    <row r="104" s="64" customFormat="1" x14ac:dyDescent="0.35"/>
    <row r="105" s="64" customFormat="1" x14ac:dyDescent="0.35"/>
    <row r="106" s="64" customFormat="1" x14ac:dyDescent="0.35"/>
    <row r="107" s="64" customFormat="1" x14ac:dyDescent="0.35"/>
    <row r="108" s="64" customFormat="1" x14ac:dyDescent="0.35"/>
    <row r="109" s="64" customFormat="1" x14ac:dyDescent="0.35"/>
    <row r="110" s="64" customFormat="1" x14ac:dyDescent="0.35"/>
    <row r="111" s="64" customFormat="1" x14ac:dyDescent="0.35"/>
    <row r="112" s="64" customFormat="1" x14ac:dyDescent="0.35"/>
    <row r="113" s="64" customFormat="1" x14ac:dyDescent="0.35"/>
    <row r="114" s="64" customFormat="1" x14ac:dyDescent="0.35"/>
    <row r="115" s="64" customFormat="1" x14ac:dyDescent="0.35"/>
    <row r="116" s="64" customFormat="1" x14ac:dyDescent="0.35"/>
    <row r="117" s="64" customFormat="1" x14ac:dyDescent="0.35"/>
    <row r="118" s="64" customFormat="1" x14ac:dyDescent="0.35"/>
    <row r="119" s="64" customFormat="1" x14ac:dyDescent="0.35"/>
    <row r="120" s="64" customFormat="1" x14ac:dyDescent="0.35"/>
    <row r="121" s="64" customFormat="1" x14ac:dyDescent="0.35"/>
    <row r="122" s="64" customFormat="1" x14ac:dyDescent="0.35"/>
    <row r="123" s="64" customFormat="1" x14ac:dyDescent="0.35"/>
    <row r="124" s="64" customFormat="1" x14ac:dyDescent="0.35"/>
    <row r="125" s="64" customFormat="1" x14ac:dyDescent="0.35"/>
    <row r="126" s="64" customFormat="1" x14ac:dyDescent="0.35"/>
    <row r="127" s="64" customFormat="1" x14ac:dyDescent="0.35"/>
    <row r="128" s="64" customFormat="1" x14ac:dyDescent="0.35"/>
    <row r="129" s="64" customFormat="1" x14ac:dyDescent="0.35"/>
    <row r="130" s="64" customFormat="1" x14ac:dyDescent="0.35"/>
    <row r="131" s="64" customFormat="1" x14ac:dyDescent="0.35"/>
    <row r="132" s="64" customFormat="1" x14ac:dyDescent="0.35"/>
    <row r="133" s="64" customFormat="1" x14ac:dyDescent="0.35"/>
    <row r="134" s="64" customFormat="1" x14ac:dyDescent="0.35"/>
    <row r="135" s="64" customFormat="1" x14ac:dyDescent="0.35"/>
    <row r="136" s="64" customFormat="1" x14ac:dyDescent="0.35"/>
    <row r="137" s="64" customFormat="1" x14ac:dyDescent="0.35"/>
    <row r="138" s="64" customFormat="1" x14ac:dyDescent="0.35"/>
    <row r="139" s="64" customFormat="1" x14ac:dyDescent="0.35"/>
    <row r="140" s="64" customFormat="1" x14ac:dyDescent="0.35"/>
    <row r="141" s="64" customFormat="1" x14ac:dyDescent="0.35"/>
    <row r="142" s="64" customFormat="1" x14ac:dyDescent="0.35"/>
    <row r="143" s="64" customFormat="1" x14ac:dyDescent="0.35"/>
    <row r="144" s="64" customFormat="1" x14ac:dyDescent="0.35"/>
    <row r="145" spans="1:75" s="64" customFormat="1" x14ac:dyDescent="0.35"/>
    <row r="146" spans="1:75" s="64" customFormat="1" x14ac:dyDescent="0.35"/>
    <row r="147" spans="1:75" s="64" customFormat="1" x14ac:dyDescent="0.35"/>
    <row r="148" spans="1:75" s="64" customFormat="1" x14ac:dyDescent="0.35"/>
    <row r="149" spans="1:75" s="64" customFormat="1" x14ac:dyDescent="0.35">
      <c r="A149" s="13"/>
      <c r="B149" s="13"/>
      <c r="C149" s="13"/>
      <c r="D149" s="13"/>
      <c r="E149" s="13"/>
      <c r="F149" s="13"/>
      <c r="G149" s="13"/>
      <c r="I149" s="13"/>
      <c r="M149" s="13"/>
    </row>
    <row r="150" spans="1:75" s="13" customFormat="1" x14ac:dyDescent="0.35">
      <c r="A150" s="1"/>
      <c r="B150" s="1"/>
      <c r="C150" s="1"/>
      <c r="D150" s="1"/>
      <c r="E150" s="1"/>
      <c r="F150" s="1"/>
      <c r="G150" s="1"/>
      <c r="H150" s="64"/>
      <c r="J150" s="64"/>
      <c r="K150" s="64"/>
      <c r="L150" s="64"/>
      <c r="M150" s="1"/>
      <c r="N150" s="64"/>
      <c r="O150" s="64"/>
      <c r="P150" s="64"/>
      <c r="Q150" s="64"/>
      <c r="R150" s="64"/>
      <c r="S150" s="64"/>
      <c r="T150" s="64"/>
      <c r="U150" s="64"/>
      <c r="V150" s="64"/>
      <c r="W150" s="64"/>
      <c r="X150" s="64"/>
      <c r="Y150" s="64"/>
      <c r="Z150" s="64"/>
      <c r="AA150" s="64"/>
      <c r="AB150" s="64"/>
      <c r="AC150" s="64"/>
      <c r="AD150" s="64"/>
      <c r="AE150" s="64"/>
      <c r="AF150" s="64"/>
      <c r="AG150" s="64"/>
      <c r="AH150" s="64"/>
      <c r="AI150" s="64"/>
      <c r="AJ150" s="64"/>
      <c r="AK150" s="64"/>
      <c r="AL150" s="64"/>
      <c r="AM150" s="64"/>
      <c r="AN150" s="64"/>
      <c r="AO150" s="64"/>
      <c r="AP150" s="64"/>
      <c r="AQ150" s="64"/>
      <c r="AR150" s="64"/>
      <c r="AS150" s="64"/>
      <c r="AT150" s="64"/>
      <c r="AU150" s="64"/>
      <c r="AV150" s="64"/>
      <c r="AW150" s="64"/>
      <c r="AX150" s="64"/>
      <c r="AY150" s="64"/>
      <c r="AZ150" s="64"/>
      <c r="BA150" s="64"/>
      <c r="BB150" s="64"/>
      <c r="BC150" s="64"/>
      <c r="BD150" s="64"/>
      <c r="BE150" s="64"/>
      <c r="BF150" s="64"/>
      <c r="BG150" s="64"/>
      <c r="BH150" s="64"/>
      <c r="BI150" s="64"/>
      <c r="BJ150" s="64"/>
      <c r="BK150" s="64"/>
      <c r="BL150" s="64"/>
      <c r="BM150" s="64"/>
      <c r="BN150" s="64"/>
      <c r="BO150" s="64"/>
      <c r="BP150" s="64"/>
      <c r="BQ150" s="64"/>
      <c r="BR150" s="64"/>
      <c r="BS150" s="64"/>
      <c r="BT150" s="64"/>
      <c r="BU150" s="64"/>
      <c r="BV150" s="64"/>
      <c r="BW150" s="64"/>
    </row>
  </sheetData>
  <sheetProtection algorithmName="SHA-512" hashValue="y3eSH3XHPq0qyEscxbt7QN1K2isG7RMF36ECt1seB8cNQcQZ6IyH2zqNbkBWjeIArjnXVSjZ08vUISTvQt9LAA==" saltValue="vSlaykW7zJv2taqcL03MnQ==" spinCount="100000" sheet="1" objects="1" scenarios="1"/>
  <protectedRanges>
    <protectedRange sqref="C13:C19 D16:D19" name="Range1"/>
  </protectedRanges>
  <mergeCells count="6">
    <mergeCell ref="B8:E8"/>
    <mergeCell ref="C3:E3"/>
    <mergeCell ref="B4:E4"/>
    <mergeCell ref="B5:E5"/>
    <mergeCell ref="B6:E6"/>
    <mergeCell ref="B7:E7"/>
  </mergeCells>
  <pageMargins left="0.7" right="0.7" top="0.75" bottom="0.75" header="0.3" footer="0.3"/>
  <pageSetup orientation="portrait" r:id="rId1"/>
  <ignoredErrors>
    <ignoredError sqref="H16 H17" emptyCellReference="1"/>
  </ignoredError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500-000001000000}">
          <x14:formula1>
            <xm:f>Assumptions!$T$3:$T$25</xm:f>
          </x14:formula1>
          <xm:sqref>C13</xm:sqref>
        </x14:dataValidation>
        <x14:dataValidation type="list" allowBlank="1" showInputMessage="1" showErrorMessage="1" xr:uid="{00000000-0002-0000-0500-000000000000}">
          <x14:formula1>
            <xm:f>Assumptions!$S$3:$S$4</xm:f>
          </x14:formula1>
          <xm:sqref>C14</xm:sqref>
        </x14:dataValidation>
        <x14:dataValidation type="list" allowBlank="1" showInputMessage="1" showErrorMessage="1" xr:uid="{00000000-0002-0000-0500-000002000000}">
          <x14:formula1>
            <xm:f>Assumptions!$U$3:$U$4</xm:f>
          </x14:formula1>
          <xm:sqref>D16:D19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13821F-E696-4EB2-9A11-295E2CCCBFB6}">
  <sheetPr codeName="Sheet8">
    <tabColor theme="7"/>
  </sheetPr>
  <dimension ref="A1:BY153"/>
  <sheetViews>
    <sheetView zoomScaleNormal="100" zoomScalePageLayoutView="80" workbookViewId="0">
      <selection activeCell="D57" sqref="D57"/>
    </sheetView>
  </sheetViews>
  <sheetFormatPr defaultColWidth="8.7265625" defaultRowHeight="14.5" x14ac:dyDescent="0.35"/>
  <cols>
    <col min="1" max="1" width="3.7265625" style="1" customWidth="1"/>
    <col min="2" max="2" width="62" style="1" customWidth="1"/>
    <col min="3" max="3" width="16.7265625" style="1" customWidth="1"/>
    <col min="4" max="4" width="18.7265625" style="1" customWidth="1"/>
    <col min="5" max="5" width="15" style="1" customWidth="1"/>
    <col min="6" max="6" width="4.7265625" style="1" customWidth="1"/>
    <col min="7" max="7" width="12.26953125" style="171" hidden="1" customWidth="1"/>
    <col min="8" max="8" width="10.26953125" style="171" hidden="1" customWidth="1"/>
    <col min="9" max="9" width="12.453125" style="167" hidden="1" customWidth="1"/>
    <col min="10" max="10" width="22.453125" style="64" hidden="1" customWidth="1"/>
    <col min="11" max="11" width="10.26953125" style="64" hidden="1" customWidth="1"/>
    <col min="12" max="12" width="14" style="64" hidden="1" customWidth="1"/>
    <col min="13" max="13" width="8.453125" style="1" hidden="1" customWidth="1"/>
    <col min="14" max="14" width="13.7265625" style="64" hidden="1" customWidth="1"/>
    <col min="15" max="17" width="8.453125" style="64" hidden="1" customWidth="1"/>
    <col min="18" max="18" width="26.26953125" style="64" customWidth="1"/>
    <col min="19" max="45" width="8.453125" style="64" customWidth="1"/>
    <col min="46" max="76" width="8.7265625" style="64"/>
    <col min="77" max="16384" width="8.7265625" style="1"/>
  </cols>
  <sheetData>
    <row r="1" spans="1:76" s="66" customFormat="1" ht="28.5" x14ac:dyDescent="0.35">
      <c r="A1" s="63" t="s">
        <v>152</v>
      </c>
      <c r="B1" s="64"/>
      <c r="C1" s="64"/>
      <c r="D1" s="64"/>
      <c r="E1" s="64"/>
      <c r="G1" s="168"/>
      <c r="H1" s="261"/>
      <c r="I1" s="165"/>
    </row>
    <row r="2" spans="1:76" s="66" customFormat="1" ht="16.5" customHeight="1" x14ac:dyDescent="0.35">
      <c r="A2" s="63"/>
      <c r="B2" s="64"/>
      <c r="C2" s="64"/>
      <c r="D2" s="64"/>
      <c r="E2" s="64"/>
      <c r="G2" s="168"/>
      <c r="H2" s="168"/>
      <c r="I2" s="165"/>
    </row>
    <row r="3" spans="1:76" s="66" customFormat="1" ht="23.5" x14ac:dyDescent="0.35">
      <c r="A3" s="185"/>
      <c r="B3" s="61" t="s">
        <v>77</v>
      </c>
      <c r="C3" s="549"/>
      <c r="D3" s="549"/>
      <c r="E3" s="549"/>
      <c r="F3" s="184"/>
      <c r="G3" s="168"/>
      <c r="H3" s="168"/>
      <c r="I3" s="165"/>
    </row>
    <row r="4" spans="1:76" customFormat="1" ht="23.5" x14ac:dyDescent="0.35">
      <c r="A4" s="186"/>
      <c r="B4" s="550" t="s">
        <v>78</v>
      </c>
      <c r="C4" s="550"/>
      <c r="D4" s="550"/>
      <c r="E4" s="550"/>
      <c r="F4" s="187"/>
      <c r="G4" s="66"/>
      <c r="H4" s="64"/>
      <c r="I4" s="64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66"/>
      <c r="AI4" s="66"/>
      <c r="AJ4" s="66"/>
      <c r="AK4" s="66"/>
      <c r="AL4" s="66"/>
      <c r="AM4" s="66"/>
      <c r="AN4" s="66"/>
    </row>
    <row r="5" spans="1:76" customFormat="1" ht="30" customHeight="1" x14ac:dyDescent="0.35">
      <c r="A5" s="186"/>
      <c r="B5" s="551" t="s">
        <v>79</v>
      </c>
      <c r="C5" s="551"/>
      <c r="D5" s="551"/>
      <c r="E5" s="551"/>
      <c r="F5" s="187"/>
      <c r="G5" s="66"/>
      <c r="H5" s="64"/>
      <c r="I5" s="64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66"/>
      <c r="W5" s="66"/>
      <c r="X5" s="66"/>
      <c r="Y5" s="66"/>
      <c r="Z5" s="66"/>
      <c r="AA5" s="66"/>
      <c r="AB5" s="66"/>
      <c r="AC5" s="66"/>
      <c r="AD5" s="66"/>
      <c r="AE5" s="66"/>
      <c r="AF5" s="66"/>
      <c r="AG5" s="66"/>
      <c r="AH5" s="66"/>
      <c r="AI5" s="66"/>
      <c r="AJ5" s="66"/>
      <c r="AK5" s="66"/>
      <c r="AL5" s="66"/>
      <c r="AM5" s="66"/>
      <c r="AN5" s="66"/>
    </row>
    <row r="6" spans="1:76" customFormat="1" ht="29.25" customHeight="1" x14ac:dyDescent="0.35">
      <c r="A6" s="186"/>
      <c r="B6" s="552" t="s">
        <v>80</v>
      </c>
      <c r="C6" s="552"/>
      <c r="D6" s="552"/>
      <c r="E6" s="552"/>
      <c r="F6" s="187"/>
      <c r="G6" s="66"/>
      <c r="H6" s="64"/>
      <c r="I6" s="64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  <c r="AA6" s="66"/>
      <c r="AB6" s="66"/>
      <c r="AC6" s="66"/>
      <c r="AD6" s="66"/>
      <c r="AE6" s="66"/>
      <c r="AF6" s="66"/>
      <c r="AG6" s="66"/>
      <c r="AH6" s="66"/>
      <c r="AI6" s="66"/>
      <c r="AJ6" s="66"/>
      <c r="AK6" s="66"/>
      <c r="AL6" s="66"/>
      <c r="AM6" s="66"/>
      <c r="AN6" s="66"/>
    </row>
    <row r="7" spans="1:76" customFormat="1" ht="27" customHeight="1" x14ac:dyDescent="0.35">
      <c r="A7" s="186"/>
      <c r="B7" s="553" t="s">
        <v>81</v>
      </c>
      <c r="C7" s="553"/>
      <c r="D7" s="553"/>
      <c r="E7" s="553"/>
      <c r="F7" s="187"/>
      <c r="G7" s="66"/>
      <c r="H7" s="64"/>
      <c r="I7" s="64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66"/>
      <c r="Y7" s="66"/>
      <c r="Z7" s="66"/>
      <c r="AA7" s="66"/>
      <c r="AB7" s="66"/>
      <c r="AC7" s="66"/>
      <c r="AD7" s="66"/>
      <c r="AE7" s="66"/>
      <c r="AF7" s="66"/>
      <c r="AG7" s="66"/>
      <c r="AH7" s="66"/>
      <c r="AI7" s="66"/>
      <c r="AJ7" s="66"/>
      <c r="AK7" s="66"/>
      <c r="AL7" s="66"/>
      <c r="AM7" s="66"/>
      <c r="AN7" s="66"/>
    </row>
    <row r="8" spans="1:76" customFormat="1" ht="23.5" x14ac:dyDescent="0.35">
      <c r="A8" s="186"/>
      <c r="B8" s="548" t="s">
        <v>82</v>
      </c>
      <c r="C8" s="548"/>
      <c r="D8" s="548"/>
      <c r="E8" s="548"/>
      <c r="F8" s="187"/>
      <c r="G8" s="66"/>
      <c r="H8" s="64"/>
      <c r="I8" s="64"/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  <c r="U8" s="66"/>
      <c r="V8" s="66"/>
      <c r="W8" s="66"/>
      <c r="X8" s="66"/>
      <c r="Y8" s="66"/>
      <c r="Z8" s="66"/>
      <c r="AA8" s="66"/>
      <c r="AB8" s="66"/>
      <c r="AC8" s="66"/>
      <c r="AD8" s="66"/>
      <c r="AE8" s="66"/>
      <c r="AF8" s="66"/>
      <c r="AG8" s="66"/>
      <c r="AH8" s="66"/>
      <c r="AI8" s="66"/>
      <c r="AJ8" s="66"/>
      <c r="AK8" s="66"/>
      <c r="AL8" s="66"/>
      <c r="AM8" s="66"/>
      <c r="AN8" s="66"/>
    </row>
    <row r="9" spans="1:76" s="66" customFormat="1" x14ac:dyDescent="0.35">
      <c r="A9" s="184"/>
      <c r="B9" s="184"/>
      <c r="C9" s="184"/>
      <c r="D9" s="184"/>
      <c r="E9" s="184"/>
      <c r="F9" s="184"/>
      <c r="G9" s="168"/>
      <c r="H9" s="168"/>
      <c r="I9" s="165"/>
    </row>
    <row r="10" spans="1:76" s="66" customFormat="1" ht="23.5" x14ac:dyDescent="0.35">
      <c r="A10" s="63"/>
      <c r="B10" s="64"/>
      <c r="C10" s="64"/>
      <c r="D10" s="64"/>
      <c r="E10" s="64"/>
      <c r="G10" s="168"/>
      <c r="H10" s="168"/>
      <c r="I10" s="165"/>
    </row>
    <row r="11" spans="1:76" s="13" customFormat="1" ht="15.5" x14ac:dyDescent="0.35">
      <c r="A11" s="1"/>
      <c r="B11" s="61" t="s">
        <v>83</v>
      </c>
      <c r="C11" s="1"/>
      <c r="D11" s="1"/>
      <c r="E11" s="1"/>
      <c r="F11" s="1"/>
      <c r="G11" s="133"/>
      <c r="H11" s="133"/>
      <c r="I11" s="165"/>
      <c r="J11" s="66"/>
      <c r="K11" s="66"/>
      <c r="L11" s="64"/>
      <c r="M11" s="64"/>
      <c r="N11" s="64"/>
      <c r="O11" s="64"/>
      <c r="P11" s="64"/>
      <c r="Q11" s="64"/>
      <c r="R11" s="64"/>
      <c r="S11" s="64"/>
      <c r="T11" s="64"/>
      <c r="U11" s="64"/>
      <c r="V11" s="64"/>
      <c r="W11" s="64"/>
      <c r="X11" s="64"/>
      <c r="Y11" s="64"/>
      <c r="Z11" s="64"/>
      <c r="AA11" s="64"/>
      <c r="AB11" s="64"/>
      <c r="AC11" s="64"/>
      <c r="AD11" s="64"/>
      <c r="AE11" s="64"/>
      <c r="AF11" s="64"/>
      <c r="AG11" s="64"/>
      <c r="AH11" s="64"/>
      <c r="AI11" s="64"/>
      <c r="AJ11" s="64"/>
      <c r="AK11" s="64"/>
      <c r="AL11" s="64"/>
      <c r="AM11" s="64"/>
      <c r="AN11" s="64"/>
      <c r="AO11" s="64"/>
      <c r="AP11" s="64"/>
      <c r="AQ11" s="64"/>
      <c r="AR11" s="64"/>
      <c r="AS11" s="64"/>
      <c r="AT11" s="64"/>
      <c r="AU11" s="64"/>
      <c r="AV11" s="64"/>
      <c r="AW11" s="64"/>
      <c r="AX11" s="64"/>
      <c r="AY11" s="64"/>
      <c r="AZ11" s="64"/>
      <c r="BA11" s="64"/>
      <c r="BB11" s="64"/>
      <c r="BC11" s="64"/>
      <c r="BD11" s="64"/>
      <c r="BE11" s="64"/>
      <c r="BF11" s="64"/>
      <c r="BG11" s="64"/>
      <c r="BH11" s="64"/>
      <c r="BI11" s="64"/>
      <c r="BJ11" s="64"/>
      <c r="BK11" s="64"/>
      <c r="BL11" s="64"/>
      <c r="BM11" s="64"/>
      <c r="BN11" s="64"/>
      <c r="BO11" s="64"/>
      <c r="BP11" s="64"/>
      <c r="BQ11" s="64"/>
      <c r="BR11" s="64"/>
      <c r="BS11" s="64"/>
      <c r="BT11" s="64"/>
      <c r="BU11" s="64"/>
    </row>
    <row r="12" spans="1:76" s="13" customFormat="1" ht="26.5" x14ac:dyDescent="0.35">
      <c r="A12" s="1"/>
      <c r="B12" s="102" t="s">
        <v>84</v>
      </c>
      <c r="C12" s="102" t="s">
        <v>85</v>
      </c>
      <c r="D12" s="102" t="s">
        <v>86</v>
      </c>
      <c r="E12" s="102" t="s">
        <v>87</v>
      </c>
      <c r="F12" s="1"/>
      <c r="G12" s="169" t="s">
        <v>88</v>
      </c>
      <c r="H12" s="169" t="s">
        <v>89</v>
      </c>
      <c r="I12" s="115" t="s">
        <v>90</v>
      </c>
      <c r="J12" s="66"/>
      <c r="K12" s="66"/>
      <c r="L12" s="64"/>
      <c r="M12" s="64"/>
      <c r="N12" s="64"/>
      <c r="O12" s="64"/>
      <c r="P12" s="64"/>
      <c r="Q12" s="64"/>
      <c r="R12" s="64"/>
      <c r="S12" s="64"/>
      <c r="T12" s="64"/>
      <c r="U12" s="64"/>
      <c r="V12" s="64"/>
      <c r="W12" s="64"/>
      <c r="X12" s="64"/>
      <c r="Y12" s="64"/>
      <c r="Z12" s="64"/>
      <c r="AA12" s="64"/>
      <c r="AB12" s="64"/>
      <c r="AC12" s="64"/>
      <c r="AD12" s="64"/>
      <c r="AE12" s="64"/>
      <c r="AF12" s="64"/>
      <c r="AG12" s="64"/>
      <c r="AH12" s="64"/>
      <c r="AI12" s="64"/>
      <c r="AJ12" s="64"/>
      <c r="AK12" s="64"/>
      <c r="AL12" s="64"/>
      <c r="AM12" s="64"/>
      <c r="AN12" s="64"/>
      <c r="AO12" s="64"/>
      <c r="AP12" s="64"/>
      <c r="AQ12" s="64"/>
      <c r="AR12" s="64"/>
      <c r="AS12" s="64"/>
      <c r="AT12" s="64"/>
      <c r="AU12" s="64"/>
      <c r="AV12" s="64"/>
      <c r="AW12" s="64"/>
      <c r="AX12" s="64"/>
      <c r="AY12" s="64"/>
      <c r="AZ12" s="64"/>
      <c r="BA12" s="64"/>
      <c r="BB12" s="64"/>
      <c r="BC12" s="64"/>
      <c r="BD12" s="64"/>
      <c r="BE12" s="64"/>
      <c r="BF12" s="64"/>
      <c r="BG12" s="64"/>
      <c r="BH12" s="64"/>
      <c r="BI12" s="64"/>
      <c r="BJ12" s="64"/>
      <c r="BK12" s="64"/>
      <c r="BL12" s="64"/>
      <c r="BM12" s="64"/>
      <c r="BN12" s="64"/>
      <c r="BO12" s="64"/>
      <c r="BP12" s="64"/>
      <c r="BQ12" s="64"/>
      <c r="BR12" s="64"/>
      <c r="BS12" s="64"/>
      <c r="BT12" s="64"/>
      <c r="BU12" s="64"/>
    </row>
    <row r="13" spans="1:76" x14ac:dyDescent="0.35">
      <c r="B13" s="105" t="s">
        <v>91</v>
      </c>
      <c r="C13" s="509"/>
      <c r="D13" s="510"/>
      <c r="E13" s="106"/>
      <c r="G13" s="133"/>
      <c r="H13" s="134">
        <f>C13</f>
        <v>0</v>
      </c>
      <c r="I13" s="165"/>
      <c r="J13" s="66"/>
      <c r="K13" s="66"/>
      <c r="M13" s="64"/>
      <c r="BV13" s="1"/>
      <c r="BW13" s="1"/>
      <c r="BX13" s="1"/>
    </row>
    <row r="14" spans="1:76" x14ac:dyDescent="0.35">
      <c r="B14" s="105" t="s">
        <v>153</v>
      </c>
      <c r="C14" s="509"/>
      <c r="D14" s="510"/>
      <c r="E14" s="106"/>
      <c r="G14" s="133"/>
      <c r="H14" s="134">
        <f>C14</f>
        <v>0</v>
      </c>
      <c r="I14" s="165"/>
      <c r="J14" s="66"/>
      <c r="K14" s="66"/>
      <c r="M14" s="64"/>
      <c r="BV14" s="1"/>
      <c r="BW14" s="1"/>
      <c r="BX14" s="1"/>
    </row>
    <row r="15" spans="1:76" x14ac:dyDescent="0.35">
      <c r="B15" s="105" t="s">
        <v>154</v>
      </c>
      <c r="C15" s="527"/>
      <c r="D15" s="510"/>
      <c r="E15" s="106"/>
      <c r="G15" s="133"/>
      <c r="H15" s="158">
        <f>C15</f>
        <v>0</v>
      </c>
      <c r="I15" s="165"/>
      <c r="J15" s="66"/>
      <c r="K15" s="66"/>
      <c r="M15" s="64"/>
      <c r="BV15" s="1"/>
      <c r="BW15" s="1"/>
      <c r="BX15" s="1"/>
    </row>
    <row r="16" spans="1:76" x14ac:dyDescent="0.35">
      <c r="B16" s="105" t="s">
        <v>155</v>
      </c>
      <c r="C16" s="528"/>
      <c r="D16" s="524" t="s">
        <v>94</v>
      </c>
      <c r="E16" s="417">
        <f>IF(D16="Yes",G16," ")</f>
        <v>0.01</v>
      </c>
      <c r="G16" s="136">
        <f>IF(H14="Sidewalk","",Assumptions!$D$42)</f>
        <v>0.01</v>
      </c>
      <c r="H16" s="136">
        <f>IF(OR(H14="Separated bike lane/trail",H14="Painted bike lane"),IF(D16="Yes",E16,C16),0)</f>
        <v>0</v>
      </c>
      <c r="I16" s="166">
        <f t="shared" ref="I16:I17" si="0">IF(AND(D16="No",ISBLANK(C16)),1,IF(D16="Yes",IF(E16=0,1,0),0))</f>
        <v>0</v>
      </c>
      <c r="J16" s="66"/>
      <c r="K16" s="66"/>
      <c r="M16" s="64"/>
      <c r="BV16" s="1"/>
      <c r="BW16" s="1"/>
      <c r="BX16" s="1"/>
    </row>
    <row r="17" spans="2:76" x14ac:dyDescent="0.35">
      <c r="B17" s="105" t="s">
        <v>156</v>
      </c>
      <c r="C17" s="528"/>
      <c r="D17" s="524" t="s">
        <v>94</v>
      </c>
      <c r="E17" s="497">
        <f t="shared" ref="E17" si="1">IF(D17="Yes",G17," ")</f>
        <v>2.96</v>
      </c>
      <c r="G17" s="140">
        <f>IF(H14="Sidewalk","",Assumptions!$D$54)</f>
        <v>2.96</v>
      </c>
      <c r="H17" s="140">
        <f>IF(OR(H14="Separated bike lane/trail",H14="Painted bike lane"),IF(D17="Yes",E17,C17),0)</f>
        <v>0</v>
      </c>
      <c r="I17" s="166">
        <f t="shared" si="0"/>
        <v>0</v>
      </c>
      <c r="J17" s="66"/>
      <c r="K17" s="66"/>
      <c r="M17" s="64"/>
      <c r="BV17" s="1"/>
      <c r="BW17" s="1"/>
      <c r="BX17" s="1"/>
    </row>
    <row r="18" spans="2:76" x14ac:dyDescent="0.35">
      <c r="B18" s="100"/>
      <c r="C18" s="101"/>
      <c r="D18" s="101"/>
      <c r="E18" s="101"/>
      <c r="G18" s="133"/>
      <c r="H18" s="133"/>
      <c r="I18" s="165"/>
      <c r="M18" s="64"/>
      <c r="BV18" s="1"/>
      <c r="BW18" s="1"/>
      <c r="BX18" s="1"/>
    </row>
    <row r="19" spans="2:76" s="64" customFormat="1" x14ac:dyDescent="0.35">
      <c r="B19" s="103"/>
      <c r="C19" s="104"/>
      <c r="D19" s="104"/>
      <c r="E19" s="104"/>
      <c r="G19" s="133"/>
      <c r="H19" s="133"/>
      <c r="I19" s="165"/>
    </row>
    <row r="20" spans="2:76" ht="15.5" x14ac:dyDescent="0.35">
      <c r="B20" s="61" t="s">
        <v>96</v>
      </c>
      <c r="G20" s="133"/>
      <c r="H20" s="133"/>
      <c r="I20" s="165"/>
      <c r="M20" s="64"/>
      <c r="BV20" s="1"/>
      <c r="BW20" s="1"/>
      <c r="BX20" s="1"/>
    </row>
    <row r="21" spans="2:76" x14ac:dyDescent="0.35">
      <c r="G21" s="133"/>
      <c r="H21" s="133"/>
      <c r="I21" s="165"/>
      <c r="M21" s="64"/>
      <c r="BV21" s="1"/>
      <c r="BW21" s="1"/>
      <c r="BX21" s="1"/>
    </row>
    <row r="22" spans="2:76" x14ac:dyDescent="0.35">
      <c r="B22" s="102" t="s">
        <v>84</v>
      </c>
      <c r="C22" s="102" t="s">
        <v>85</v>
      </c>
      <c r="G22" s="133"/>
      <c r="H22" s="133"/>
      <c r="I22" s="165"/>
      <c r="M22" s="64"/>
      <c r="BV22" s="1"/>
      <c r="BW22" s="1"/>
      <c r="BX22" s="1"/>
    </row>
    <row r="23" spans="2:76" x14ac:dyDescent="0.35">
      <c r="B23" s="105" t="s">
        <v>157</v>
      </c>
      <c r="C23" s="304">
        <f>Assumptions!$D$44</f>
        <v>0.51514683371343495</v>
      </c>
      <c r="G23" s="133"/>
      <c r="H23" s="137">
        <f t="shared" ref="H23:H33" si="2">C23</f>
        <v>0.51514683371343495</v>
      </c>
      <c r="I23" s="165"/>
      <c r="M23" s="64"/>
      <c r="BV23" s="1"/>
      <c r="BW23" s="1"/>
      <c r="BX23" s="1"/>
    </row>
    <row r="24" spans="2:76" x14ac:dyDescent="0.35">
      <c r="B24" s="105" t="s">
        <v>158</v>
      </c>
      <c r="C24" s="300">
        <f>Assumptions!$D$55</f>
        <v>2</v>
      </c>
      <c r="G24" s="64"/>
      <c r="H24" s="158">
        <f t="shared" si="2"/>
        <v>2</v>
      </c>
      <c r="I24" s="166"/>
      <c r="M24" s="64"/>
      <c r="BV24" s="1"/>
      <c r="BW24" s="1"/>
      <c r="BX24" s="1"/>
    </row>
    <row r="25" spans="2:76" x14ac:dyDescent="0.35">
      <c r="B25" s="105" t="s">
        <v>159</v>
      </c>
      <c r="C25" s="300">
        <f>Assumptions!$D$56</f>
        <v>3.03</v>
      </c>
      <c r="G25" s="64"/>
      <c r="H25" s="158">
        <f t="shared" si="2"/>
        <v>3.03</v>
      </c>
      <c r="I25" s="166"/>
      <c r="M25" s="64"/>
      <c r="BV25" s="1"/>
      <c r="BW25" s="1"/>
      <c r="BX25" s="1"/>
    </row>
    <row r="26" spans="2:76" x14ac:dyDescent="0.35">
      <c r="B26" s="105" t="s">
        <v>160</v>
      </c>
      <c r="C26" s="304">
        <f>Assumptions!D45</f>
        <v>0.32600000000000001</v>
      </c>
      <c r="G26" s="133"/>
      <c r="H26" s="137">
        <f t="shared" si="2"/>
        <v>0.32600000000000001</v>
      </c>
      <c r="I26" s="165"/>
      <c r="M26" s="64"/>
      <c r="BV26" s="1"/>
      <c r="BW26" s="1"/>
      <c r="BX26" s="1"/>
    </row>
    <row r="27" spans="2:76" x14ac:dyDescent="0.35">
      <c r="B27" s="105" t="s">
        <v>161</v>
      </c>
      <c r="C27" s="304">
        <f>Assumptions!D47</f>
        <v>0.318</v>
      </c>
      <c r="G27" s="133"/>
      <c r="H27" s="137">
        <f t="shared" si="2"/>
        <v>0.318</v>
      </c>
      <c r="I27" s="165"/>
      <c r="M27" s="64"/>
      <c r="BV27" s="1"/>
      <c r="BW27" s="1"/>
      <c r="BX27" s="1"/>
    </row>
    <row r="28" spans="2:76" ht="27.75" customHeight="1" x14ac:dyDescent="0.35">
      <c r="B28" s="105" t="s">
        <v>162</v>
      </c>
      <c r="C28" s="304">
        <f>IF(C14="Painted bike lane", Assumptions!D51,Assumptions!D50)</f>
        <v>0.11799999999999999</v>
      </c>
      <c r="G28" s="133"/>
      <c r="H28" s="137">
        <f t="shared" si="2"/>
        <v>0.11799999999999999</v>
      </c>
      <c r="I28" s="165"/>
      <c r="M28" s="64"/>
      <c r="BV28" s="1"/>
      <c r="BW28" s="1"/>
      <c r="BX28" s="1"/>
    </row>
    <row r="29" spans="2:76" ht="14.5" customHeight="1" x14ac:dyDescent="0.35">
      <c r="B29" s="105" t="s">
        <v>163</v>
      </c>
      <c r="C29" s="507">
        <f>Assumptions!D57</f>
        <v>1.04</v>
      </c>
      <c r="G29" s="133"/>
      <c r="H29" s="139">
        <f>C29</f>
        <v>1.04</v>
      </c>
      <c r="I29" s="165"/>
      <c r="M29" s="64"/>
      <c r="BV29" s="1"/>
      <c r="BW29" s="1"/>
      <c r="BX29" s="1"/>
    </row>
    <row r="30" spans="2:76" ht="14.5" customHeight="1" x14ac:dyDescent="0.35">
      <c r="B30" s="105" t="s">
        <v>164</v>
      </c>
      <c r="C30" s="507">
        <f>Assumptions!$D$113</f>
        <v>1.32</v>
      </c>
      <c r="G30" s="133"/>
      <c r="H30" s="139">
        <f>C30</f>
        <v>1.32</v>
      </c>
      <c r="I30" s="165"/>
      <c r="M30" s="64"/>
      <c r="BV30" s="1"/>
      <c r="BW30" s="1"/>
      <c r="BX30" s="1"/>
    </row>
    <row r="31" spans="2:76" x14ac:dyDescent="0.35">
      <c r="B31" s="105" t="s">
        <v>165</v>
      </c>
      <c r="C31" s="330">
        <f>IF(SUM(I$16:I$16)&gt;0,"(Error]",IF(C14="Sidewalk",0,(H$16/G$16*H$15*H$23*H$26*H$28*H24)))</f>
        <v>0</v>
      </c>
      <c r="G31" s="133"/>
      <c r="H31" s="158">
        <f t="shared" si="2"/>
        <v>0</v>
      </c>
      <c r="I31" s="165"/>
      <c r="M31" s="64"/>
      <c r="BV31" s="1"/>
      <c r="BW31" s="1"/>
      <c r="BX31" s="1"/>
    </row>
    <row r="32" spans="2:76" x14ac:dyDescent="0.35">
      <c r="B32" s="105" t="s">
        <v>166</v>
      </c>
      <c r="C32" s="330">
        <f>IF(SUM(I$16:I$16)&gt;0,"(Error]",IF(C14="Sidewalk",0,(H$16/G$16*H$15*H$23*H$27*H$28*H25)))</f>
        <v>0</v>
      </c>
      <c r="G32" s="133"/>
      <c r="H32" s="158">
        <f t="shared" si="2"/>
        <v>0</v>
      </c>
      <c r="I32" s="165"/>
      <c r="M32" s="64"/>
      <c r="BV32" s="1"/>
      <c r="BW32" s="1"/>
      <c r="BX32" s="1"/>
    </row>
    <row r="33" spans="1:77" x14ac:dyDescent="0.35">
      <c r="B33" s="105" t="s">
        <v>167</v>
      </c>
      <c r="C33" s="330">
        <f>H31/H29+H32/H30</f>
        <v>0</v>
      </c>
      <c r="G33" s="133"/>
      <c r="H33" s="158">
        <f t="shared" si="2"/>
        <v>0</v>
      </c>
      <c r="I33" s="165"/>
      <c r="M33" s="64"/>
      <c r="BV33" s="1"/>
      <c r="BW33" s="1"/>
      <c r="BX33" s="1"/>
    </row>
    <row r="34" spans="1:77" x14ac:dyDescent="0.35">
      <c r="B34" s="44"/>
      <c r="C34" s="62"/>
      <c r="G34" s="133"/>
      <c r="H34" s="133"/>
      <c r="I34" s="165"/>
      <c r="M34" s="64"/>
      <c r="BV34" s="1"/>
      <c r="BW34" s="1"/>
      <c r="BX34" s="1"/>
    </row>
    <row r="35" spans="1:77" x14ac:dyDescent="0.35">
      <c r="A35" s="64"/>
      <c r="B35" s="64"/>
      <c r="C35" s="64"/>
      <c r="D35" s="64"/>
      <c r="E35" s="64"/>
      <c r="F35" s="64"/>
      <c r="G35" s="133"/>
      <c r="H35" s="133"/>
      <c r="I35" s="165"/>
      <c r="M35" s="64"/>
      <c r="BV35" s="1"/>
      <c r="BW35" s="1"/>
      <c r="BX35" s="1"/>
    </row>
    <row r="36" spans="1:77" s="64" customFormat="1" ht="15.5" x14ac:dyDescent="0.35">
      <c r="A36" s="1"/>
      <c r="B36" s="61" t="s">
        <v>99</v>
      </c>
      <c r="C36" s="1"/>
      <c r="D36" s="1"/>
      <c r="E36" s="1"/>
      <c r="F36" s="1"/>
      <c r="G36" s="133"/>
      <c r="H36" s="133"/>
      <c r="I36" s="165"/>
    </row>
    <row r="37" spans="1:77" s="12" customFormat="1" x14ac:dyDescent="0.35">
      <c r="A37" s="1"/>
      <c r="B37" s="1"/>
      <c r="C37" s="1"/>
      <c r="D37" s="1"/>
      <c r="E37" s="1"/>
      <c r="F37" s="1"/>
      <c r="G37" s="133"/>
      <c r="H37" s="133"/>
      <c r="I37" s="165"/>
      <c r="J37" s="64"/>
      <c r="K37" s="64"/>
      <c r="L37" s="64"/>
      <c r="M37" s="64"/>
      <c r="N37" s="65"/>
      <c r="O37" s="64"/>
      <c r="P37" s="64"/>
      <c r="Q37" s="64"/>
      <c r="R37" s="64"/>
      <c r="S37" s="64"/>
      <c r="T37" s="64"/>
      <c r="U37" s="64"/>
      <c r="V37" s="64"/>
      <c r="W37" s="64"/>
      <c r="X37" s="64"/>
      <c r="Y37" s="64"/>
      <c r="Z37" s="64"/>
      <c r="AA37" s="64"/>
      <c r="AB37" s="64"/>
      <c r="AC37" s="64"/>
      <c r="AD37" s="64"/>
      <c r="AE37" s="64"/>
      <c r="AF37" s="64"/>
      <c r="AG37" s="64"/>
      <c r="AH37" s="64"/>
      <c r="AI37" s="64"/>
      <c r="AJ37" s="64"/>
      <c r="AK37" s="64"/>
      <c r="AL37" s="64"/>
      <c r="AM37" s="64"/>
      <c r="AN37" s="64"/>
      <c r="AO37" s="64"/>
      <c r="AP37" s="64"/>
      <c r="AQ37" s="64"/>
      <c r="AR37" s="64"/>
      <c r="AS37" s="64"/>
      <c r="AT37" s="64"/>
      <c r="AU37" s="64"/>
      <c r="AV37" s="64"/>
      <c r="AW37" s="64"/>
      <c r="AX37" s="64"/>
      <c r="AY37" s="64"/>
      <c r="AZ37" s="64"/>
      <c r="BA37" s="64"/>
      <c r="BB37" s="64"/>
      <c r="BC37" s="64"/>
      <c r="BD37" s="64"/>
      <c r="BE37" s="64"/>
      <c r="BF37" s="64"/>
      <c r="BG37" s="64"/>
      <c r="BH37" s="64"/>
      <c r="BI37" s="64"/>
      <c r="BJ37" s="64"/>
      <c r="BK37" s="64"/>
      <c r="BL37" s="64"/>
      <c r="BM37" s="64"/>
      <c r="BN37" s="64"/>
      <c r="BO37" s="64"/>
      <c r="BP37" s="64"/>
      <c r="BQ37" s="64"/>
      <c r="BR37" s="64"/>
      <c r="BS37" s="64"/>
      <c r="BT37" s="64"/>
      <c r="BU37" s="64"/>
    </row>
    <row r="38" spans="1:77" s="12" customFormat="1" ht="26.5" x14ac:dyDescent="0.35">
      <c r="A38" s="1"/>
      <c r="B38" s="102" t="s">
        <v>84</v>
      </c>
      <c r="C38" s="102" t="s">
        <v>85</v>
      </c>
      <c r="D38" s="1"/>
      <c r="E38" s="1"/>
      <c r="F38" s="1"/>
      <c r="G38" s="133"/>
      <c r="H38" s="133"/>
      <c r="I38" s="165"/>
      <c r="J38" s="64"/>
      <c r="K38" s="56" t="s">
        <v>100</v>
      </c>
      <c r="L38" s="57" t="s">
        <v>101</v>
      </c>
      <c r="M38" s="57" t="s">
        <v>102</v>
      </c>
      <c r="N38" s="57" t="s">
        <v>103</v>
      </c>
      <c r="O38" s="58">
        <v>2018</v>
      </c>
      <c r="P38" s="59">
        <v>2030</v>
      </c>
      <c r="Q38" s="59">
        <v>2040</v>
      </c>
      <c r="R38" s="64"/>
      <c r="S38" s="64"/>
      <c r="T38" s="64"/>
      <c r="U38" s="64"/>
      <c r="V38" s="64"/>
      <c r="W38" s="64"/>
      <c r="X38" s="64"/>
      <c r="Y38" s="64"/>
      <c r="Z38" s="64"/>
      <c r="AA38" s="64"/>
      <c r="AB38" s="64"/>
      <c r="AC38" s="64"/>
      <c r="AD38" s="64"/>
      <c r="AE38" s="64"/>
      <c r="AF38" s="64"/>
      <c r="AG38" s="64"/>
      <c r="AH38" s="64"/>
      <c r="AI38" s="64"/>
      <c r="AJ38" s="64"/>
      <c r="AK38" s="64"/>
      <c r="AL38" s="64"/>
      <c r="AM38" s="64"/>
      <c r="AN38" s="64"/>
      <c r="AO38" s="64"/>
      <c r="AP38" s="64"/>
      <c r="AQ38" s="64"/>
      <c r="AR38" s="64"/>
      <c r="AS38" s="64"/>
      <c r="AT38" s="64"/>
      <c r="AU38" s="64"/>
      <c r="AV38" s="64"/>
      <c r="AW38" s="64"/>
      <c r="AX38" s="64"/>
      <c r="AY38" s="64"/>
      <c r="AZ38" s="64"/>
      <c r="BA38" s="64"/>
      <c r="BB38" s="64"/>
      <c r="BC38" s="64"/>
      <c r="BD38" s="64"/>
      <c r="BE38" s="64"/>
      <c r="BF38" s="64"/>
      <c r="BG38" s="64"/>
      <c r="BH38" s="64"/>
      <c r="BI38" s="64"/>
      <c r="BJ38" s="64"/>
      <c r="BK38" s="64"/>
      <c r="BL38" s="64"/>
      <c r="BM38" s="64"/>
      <c r="BN38" s="64"/>
      <c r="BO38" s="64"/>
      <c r="BP38" s="64"/>
      <c r="BQ38" s="64"/>
      <c r="BR38" s="64"/>
      <c r="BS38" s="64"/>
      <c r="BT38" s="64"/>
      <c r="BU38" s="64"/>
    </row>
    <row r="39" spans="1:77" s="12" customFormat="1" x14ac:dyDescent="0.35">
      <c r="A39" s="1"/>
      <c r="B39" s="105" t="s">
        <v>104</v>
      </c>
      <c r="C39" s="108">
        <f>IF($H$13&lt;2030,FORECAST($H$13,O39:P39,$O$38:$P$38),FORECAST($H$13,P39:Q39,$P$38:$Q$38))</f>
        <v>14163.40716666667</v>
      </c>
      <c r="D39" s="1"/>
      <c r="E39" s="1"/>
      <c r="F39" s="1"/>
      <c r="G39" s="133"/>
      <c r="H39" s="139">
        <f>C39</f>
        <v>14163.40716666667</v>
      </c>
      <c r="I39" s="165"/>
      <c r="J39" s="64"/>
      <c r="K39" s="53" t="s">
        <v>105</v>
      </c>
      <c r="L39" s="54" t="s">
        <v>106</v>
      </c>
      <c r="M39" s="98">
        <v>35</v>
      </c>
      <c r="N39" s="54" t="s">
        <v>107</v>
      </c>
      <c r="O39" s="55">
        <f>IF(L39="CO2eq",VLOOKUP(M39,'Emission Factors'!$G$3:$J$18,MATCH(K39,'Emission Factors'!$G$2:$J$2,0),0),IF(L39="CO",VLOOKUP($M39,'Emission Factors'!$G$19:$J$34,MATCH(K39,'Emission Factors'!$G$2:$J$2,0),0),IF(L39="PM2.5",VLOOKUP(M39,'Emission Factors'!$G$35:$J$50,MATCH(K39,'Emission Factors'!$G$2:$J$2,0),0),IF(L39="NOx",VLOOKUP(M39,'Emission Factors'!$G$51:$J$66,MATCH(K39,'Emission Factors'!$G$2:$J$2,0),0),VLOOKUP(M39,'Emission Factors'!$G$67:$J$82,MATCH(K39,'Emission Factors'!$G$2:$J$2,0),0)))))</f>
        <v>345.99299999999999</v>
      </c>
      <c r="P39" s="155">
        <f>IF($L39="CO2eq",VLOOKUP($M39,'Emission Factors'!$G$88:$J$103,MATCH($K39,'Emission Factors'!$G$87:$J$87,0),0),IF(L39="CO",VLOOKUP($M39,'Emission Factors'!$G$104:$J$119,MATCH(K39,'Emission Factors'!$G$2:$J$2,0),0),IF(L39="PM2.5",VLOOKUP(M39,'Emission Factors'!$G$120:$J$135,MATCH(K39,'Emission Factors'!$G$2:$J$2,0),0),IF(L39="NOx",VLOOKUP(M39,'Emission Factors'!$G$136:$J$151,MATCH(K39,'Emission Factors'!$G$2:$J$2,0),0),VLOOKUP(M39,'Emission Factors'!$G$152:$J$167,MATCH(K39,'Emission Factors'!$G$2:$J$2,0),0)))))</f>
        <v>263.82799999999997</v>
      </c>
      <c r="Q39" s="479">
        <f>IF($L39="CO2eq",VLOOKUP($M39, 'Emission Factors'!G180:J195,MATCH($K39,'Emission Factors'!$G$2:$J$2,0),0),IF(L39="CO",VLOOKUP($M39, 'Emission Factors'!$G$189:$J$204,MATCH(K39,'Emission Factors'!$G$2:$J$2,0),0),IF(L39="PM2.5",VLOOKUP(M39, 'Emission Factors'!$G$205:$J$220,MATCH(K39,'Emission Factors'!$G$2:$J$2,0),0),IF(L39="NOx",VLOOKUP(M39, 'Emission Factors'!$G$221:$J$236,MATCH(K39,'Emission Factors'!$G$2:$J$2,0),0),VLOOKUP(M39, 'Emission Factors'!$G$237:$J$252,MATCH(K39,'Emission Factors'!$G$2:$J$2,0),0)))))</f>
        <v>238.08</v>
      </c>
      <c r="R39" s="64"/>
      <c r="S39" s="64"/>
      <c r="T39" s="64"/>
      <c r="U39" s="64"/>
      <c r="V39" s="64"/>
      <c r="W39" s="64"/>
      <c r="X39" s="64"/>
      <c r="Y39" s="64"/>
      <c r="Z39" s="64"/>
      <c r="AA39" s="64"/>
      <c r="AB39" s="64"/>
      <c r="AC39" s="64"/>
      <c r="AD39" s="64"/>
      <c r="AE39" s="64"/>
      <c r="AF39" s="64"/>
      <c r="AG39" s="64"/>
      <c r="AH39" s="64"/>
      <c r="AI39" s="64"/>
      <c r="AJ39" s="64"/>
      <c r="AK39" s="64"/>
      <c r="AL39" s="64"/>
      <c r="AM39" s="64"/>
      <c r="AN39" s="64"/>
      <c r="AO39" s="64"/>
      <c r="AP39" s="64"/>
      <c r="AQ39" s="64"/>
      <c r="AR39" s="64"/>
      <c r="AS39" s="64"/>
      <c r="AT39" s="64"/>
      <c r="AU39" s="64"/>
      <c r="AV39" s="64"/>
      <c r="AW39" s="64"/>
      <c r="AX39" s="64"/>
      <c r="AY39" s="64"/>
      <c r="AZ39" s="64"/>
      <c r="BA39" s="64"/>
      <c r="BB39" s="64"/>
      <c r="BC39" s="64"/>
      <c r="BD39" s="64"/>
      <c r="BE39" s="64"/>
      <c r="BF39" s="64"/>
      <c r="BG39" s="64"/>
      <c r="BH39" s="64"/>
      <c r="BI39" s="64"/>
      <c r="BJ39" s="64"/>
      <c r="BK39" s="64"/>
      <c r="BL39" s="64"/>
      <c r="BM39" s="64"/>
      <c r="BN39" s="64"/>
      <c r="BO39" s="64"/>
      <c r="BP39" s="64"/>
      <c r="BQ39" s="64"/>
      <c r="BR39" s="64"/>
      <c r="BS39" s="64"/>
      <c r="BT39" s="64"/>
      <c r="BU39" s="64"/>
    </row>
    <row r="40" spans="1:77" s="12" customFormat="1" x14ac:dyDescent="0.35">
      <c r="A40" s="1"/>
      <c r="B40" s="105" t="s">
        <v>108</v>
      </c>
      <c r="C40" s="108">
        <f>IF($H$13&lt;2030,FORECAST($H$13,O40:P40,$O$38:$P$38),FORECAST($H$13,P40:Q40,$P$38:$Q$38))</f>
        <v>248.39519333333331</v>
      </c>
      <c r="D40" s="1"/>
      <c r="E40" s="1"/>
      <c r="F40" s="1"/>
      <c r="G40" s="133"/>
      <c r="H40" s="139">
        <f t="shared" ref="H40:H43" si="3">C40</f>
        <v>248.39519333333331</v>
      </c>
      <c r="I40" s="165"/>
      <c r="J40" s="64"/>
      <c r="K40" s="48" t="s">
        <v>105</v>
      </c>
      <c r="L40" s="45" t="s">
        <v>109</v>
      </c>
      <c r="M40" s="99">
        <v>35</v>
      </c>
      <c r="N40" s="45" t="s">
        <v>107</v>
      </c>
      <c r="O40" s="46">
        <f>IF(L40="CO2eq",VLOOKUP(M40,'Emission Factors'!$G$3:$J$18,MATCH(K40,'Emission Factors'!$G$2:$J$2,0),0),IF(L40="CO",VLOOKUP($M40,'Emission Factors'!$G$19:$J$34,MATCH(K40,'Emission Factors'!$G$2:$J$2,0),0),IF(L40="PM2.5",VLOOKUP(M40,'Emission Factors'!$G$35:$J$50,MATCH(K40,'Emission Factors'!$G$2:$J$2,0),0),IF(L40="NOx",VLOOKUP(M40,'Emission Factors'!$G$51:$J$66,MATCH(K40,'Emission Factors'!$G$2:$J$2,0),0),VLOOKUP(M40,'Emission Factors'!$G$67:$J$82,MATCH(K40,'Emission Factors'!$G$2:$J$2,0),0)))))</f>
        <v>2.8012299999999999</v>
      </c>
      <c r="P40" s="156">
        <f>IF($L40="CO2eq",VLOOKUP($M40,'Emission Factors'!$G$88:$J$103,MATCH($K40,'Emission Factors'!$G$87:$J$87,0),0),IF(L40="CO",VLOOKUP($M40,'Emission Factors'!$G$104:$J$119,MATCH(K40,'Emission Factors'!$G$2:$J$2,0),0),IF(L40="PM2.5",VLOOKUP(M40,'Emission Factors'!$G$120:$J$135,MATCH(K40,'Emission Factors'!$G$2:$J$2,0),0),IF(L40="NOx",VLOOKUP(M40,'Emission Factors'!$G$136:$J$151,MATCH(K40,'Emission Factors'!$G$2:$J$2,0),0),VLOOKUP(M40,'Emission Factors'!$G$152:$J$167,MATCH(K40,'Emission Factors'!$G$2:$J$2,0),0)))))</f>
        <v>1.3408100000000001</v>
      </c>
      <c r="Q40" s="480">
        <f>IF($L40="CO2eq",VLOOKUP($M40, 'Emission Factors'!G181:J196,MATCH($K40,'Emission Factors'!$G$2:$J$2,0),0),IF(L40="CO",VLOOKUP($M40, 'Emission Factors'!$G$189:$J$204,MATCH(K40,'Emission Factors'!$G$2:$J$2,0),0),IF(L40="PM2.5",VLOOKUP(M40, 'Emission Factors'!$G$205:$J$220,MATCH(K40,'Emission Factors'!$G$2:$J$2,0),0),IF(L40="NOx",VLOOKUP(M40, 'Emission Factors'!$G$221:$J$236,MATCH(K40,'Emission Factors'!$G$2:$J$2,0),0),VLOOKUP(M40, 'Emission Factors'!$G$237:$J$252,MATCH(K40,'Emission Factors'!$G$2:$J$2,0),0)))))</f>
        <v>0.96630300000000002</v>
      </c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4"/>
      <c r="BM40" s="64"/>
      <c r="BN40" s="64"/>
      <c r="BO40" s="64"/>
      <c r="BP40" s="64"/>
      <c r="BQ40" s="64"/>
      <c r="BR40" s="64"/>
      <c r="BS40" s="64"/>
      <c r="BT40" s="64"/>
      <c r="BU40" s="64"/>
    </row>
    <row r="41" spans="1:77" s="12" customFormat="1" x14ac:dyDescent="0.35">
      <c r="A41" s="1"/>
      <c r="B41" s="105" t="s">
        <v>110</v>
      </c>
      <c r="C41" s="108">
        <f>IF($H$13&lt;2030,FORECAST($H$13,O41:P41,$O$38:$P$38),FORECAST($H$13,P41:Q41,$P$38:$Q$38))</f>
        <v>0.41422921833333326</v>
      </c>
      <c r="D41" s="1"/>
      <c r="E41" s="1"/>
      <c r="F41" s="1"/>
      <c r="G41" s="133"/>
      <c r="H41" s="139">
        <f t="shared" si="3"/>
        <v>0.41422921833333326</v>
      </c>
      <c r="I41" s="165"/>
      <c r="J41" s="64"/>
      <c r="K41" s="48" t="s">
        <v>105</v>
      </c>
      <c r="L41" s="45" t="s">
        <v>111</v>
      </c>
      <c r="M41" s="99">
        <v>35</v>
      </c>
      <c r="N41" s="45" t="s">
        <v>107</v>
      </c>
      <c r="O41" s="46">
        <f>IF(L41="CO2eq",VLOOKUP(M41,'Emission Factors'!$G$3:$J$18,MATCH(K41,'Emission Factors'!$G$2:$J$2,0),0),IF(L41="CO",VLOOKUP($M41,'Emission Factors'!$G$19:$J$34,MATCH(K41,'Emission Factors'!$G$2:$J$2,0),0),IF(L41="PM2.5",VLOOKUP(M41,'Emission Factors'!$G$35:$J$50,MATCH(K41,'Emission Factors'!$G$2:$J$2,0),0),IF(L41="NOx",VLOOKUP(M41,'Emission Factors'!$G$51:$J$66,MATCH(K41,'Emission Factors'!$G$2:$J$2,0),0),VLOOKUP(M41,'Emission Factors'!$G$67:$J$82,MATCH(K41,'Emission Factors'!$G$2:$J$2,0),0)))))</f>
        <v>3.88069E-3</v>
      </c>
      <c r="P41" s="156">
        <f>IF($L41="CO2eq",VLOOKUP($M41,'Emission Factors'!$G$88:$J$103,MATCH($K41,'Emission Factors'!$G$87:$J$87,0),0),IF(L41="CO",VLOOKUP($M41,'Emission Factors'!$G$104:$J$119,MATCH(K41,'Emission Factors'!$G$2:$J$2,0),0),IF(L41="PM2.5",VLOOKUP(M41,'Emission Factors'!$G$120:$J$135,MATCH(K41,'Emission Factors'!$G$2:$J$2,0),0),IF(L41="NOx",VLOOKUP(M41,'Emission Factors'!$G$136:$J$151,MATCH(K41,'Emission Factors'!$G$2:$J$2,0),0),VLOOKUP(M41,'Emission Factors'!$G$152:$J$167,MATCH(K41,'Emission Factors'!$G$2:$J$2,0),0)))))</f>
        <v>1.44056E-3</v>
      </c>
      <c r="Q41" s="480">
        <f>IF($L41="CO2eq",VLOOKUP($M41, 'Emission Factors'!G182:J197,MATCH($K41,'Emission Factors'!$G$2:$J$2,0),0),IF(L41="CO",VLOOKUP($M41, 'Emission Factors'!$G$189:$J$204,MATCH(K41,'Emission Factors'!$G$2:$J$2,0),0),IF(L41="PM2.5",VLOOKUP(M41, 'Emission Factors'!$G$205:$J$220,MATCH(K41,'Emission Factors'!$G$2:$J$2,0),0),IF(L41="NOx",VLOOKUP(M41, 'Emission Factors'!$G$221:$J$236,MATCH(K41,'Emission Factors'!$G$2:$J$2,0),0),VLOOKUP(M41, 'Emission Factors'!$G$237:$J$252,MATCH(K41,'Emission Factors'!$G$2:$J$2,0),0)))))</f>
        <v>1.0138199999999999E-3</v>
      </c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4"/>
      <c r="AD41" s="64"/>
      <c r="AE41" s="64"/>
      <c r="AF41" s="64"/>
      <c r="AG41" s="64"/>
      <c r="AH41" s="64"/>
      <c r="AI41" s="64"/>
      <c r="AJ41" s="64"/>
      <c r="AK41" s="64"/>
      <c r="AL41" s="64"/>
      <c r="AM41" s="64"/>
      <c r="AN41" s="64"/>
      <c r="AO41" s="64"/>
      <c r="AP41" s="64"/>
      <c r="AQ41" s="64"/>
      <c r="AR41" s="64"/>
      <c r="AS41" s="64"/>
      <c r="AT41" s="64"/>
      <c r="AU41" s="64"/>
      <c r="AV41" s="64"/>
      <c r="AW41" s="64"/>
      <c r="AX41" s="64"/>
      <c r="AY41" s="64"/>
      <c r="AZ41" s="64"/>
      <c r="BA41" s="64"/>
      <c r="BB41" s="64"/>
      <c r="BC41" s="64"/>
      <c r="BD41" s="64"/>
      <c r="BE41" s="64"/>
      <c r="BF41" s="64"/>
      <c r="BG41" s="64"/>
      <c r="BH41" s="64"/>
      <c r="BI41" s="64"/>
      <c r="BJ41" s="64"/>
      <c r="BK41" s="64"/>
      <c r="BL41" s="64"/>
      <c r="BM41" s="64"/>
      <c r="BN41" s="64"/>
      <c r="BO41" s="64"/>
      <c r="BP41" s="64"/>
      <c r="BQ41" s="64"/>
      <c r="BR41" s="64"/>
      <c r="BS41" s="64"/>
      <c r="BT41" s="64"/>
      <c r="BU41" s="64"/>
    </row>
    <row r="42" spans="1:77" s="12" customFormat="1" x14ac:dyDescent="0.35">
      <c r="A42" s="1"/>
      <c r="B42" s="105" t="s">
        <v>112</v>
      </c>
      <c r="C42" s="108">
        <f>IF($H$13&lt;2030,FORECAST($H$13,O42:P42,$O$38:$P$38),FORECAST($H$13,P42:Q42,$P$38:$Q$38))</f>
        <v>41.369416749999992</v>
      </c>
      <c r="D42" s="1"/>
      <c r="E42" s="1"/>
      <c r="F42" s="1"/>
      <c r="G42" s="133"/>
      <c r="H42" s="139">
        <f t="shared" si="3"/>
        <v>41.369416749999992</v>
      </c>
      <c r="I42" s="165"/>
      <c r="J42" s="64"/>
      <c r="K42" s="48" t="s">
        <v>105</v>
      </c>
      <c r="L42" s="45" t="s">
        <v>113</v>
      </c>
      <c r="M42" s="99">
        <v>35</v>
      </c>
      <c r="N42" s="45" t="s">
        <v>107</v>
      </c>
      <c r="O42" s="46">
        <f>IF(L42="CO2eq",VLOOKUP(M42,'Emission Factors'!$G$3:$J$18,MATCH(K42,'Emission Factors'!$G$2:$J$2,0),0),IF(L42="CO",VLOOKUP($M42,'Emission Factors'!$G$19:$J$34,MATCH(K42,'Emission Factors'!$G$2:$J$2,0),0),IF(L42="PM2.5",VLOOKUP(M42,'Emission Factors'!$G$35:$J$50,MATCH(K42,'Emission Factors'!$G$2:$J$2,0),0),IF(L42="NOx",VLOOKUP(M42,'Emission Factors'!$G$51:$J$66,MATCH(K42,'Emission Factors'!$G$2:$J$2,0),0),VLOOKUP(M42,'Emission Factors'!$G$67:$J$82,MATCH(K42,'Emission Factors'!$G$2:$J$2,0),0)))))</f>
        <v>0.31547700000000001</v>
      </c>
      <c r="P42" s="156">
        <f>IF($L42="CO2eq",VLOOKUP($M42,'Emission Factors'!$G$88:$J$103,MATCH($K42,'Emission Factors'!$G$87:$J$87,0),0),IF(L42="CO",VLOOKUP($M42,'Emission Factors'!$G$104:$J$119,MATCH(K42,'Emission Factors'!$G$2:$J$2,0),0),IF(L42="PM2.5",VLOOKUP(M42,'Emission Factors'!$G$120:$J$135,MATCH(K42,'Emission Factors'!$G$2:$J$2,0),0),IF(L42="NOx",VLOOKUP(M42,'Emission Factors'!$G$136:$J$151,MATCH(K42,'Emission Factors'!$G$2:$J$2,0),0),VLOOKUP(M42,'Emission Factors'!$G$152:$J$167,MATCH(K42,'Emission Factors'!$G$2:$J$2,0),0)))))</f>
        <v>7.1350499999999997E-2</v>
      </c>
      <c r="Q42" s="480">
        <f>IF($L42="CO2eq",VLOOKUP($M42, 'Emission Factors'!G183:J198,MATCH($K42,'Emission Factors'!$G$2:$J$2,0),0),IF(L42="CO",VLOOKUP($M42, 'Emission Factors'!$G$189:$J$204,MATCH(K42,'Emission Factors'!$G$2:$J$2,0),0),IF(L42="PM2.5",VLOOKUP(M42, 'Emission Factors'!$G$205:$J$220,MATCH(K42,'Emission Factors'!$G$2:$J$2,0),0),IF(L42="NOx",VLOOKUP(M42, 'Emission Factors'!$G$221:$J$236,MATCH(K42,'Emission Factors'!$G$2:$J$2,0),0),VLOOKUP(M42, 'Emission Factors'!$G$237:$J$252,MATCH(K42,'Emission Factors'!$G$2:$J$2,0),0)))))</f>
        <v>1.9481600000000002E-2</v>
      </c>
      <c r="R42" s="64"/>
      <c r="S42" s="64"/>
      <c r="T42" s="64"/>
      <c r="U42" s="64"/>
      <c r="V42" s="64"/>
      <c r="W42" s="64"/>
      <c r="X42" s="64"/>
      <c r="Y42" s="64"/>
      <c r="Z42" s="64"/>
      <c r="AA42" s="64"/>
      <c r="AB42" s="64"/>
      <c r="AC42" s="64"/>
      <c r="AD42" s="64"/>
      <c r="AE42" s="64"/>
      <c r="AF42" s="64"/>
      <c r="AG42" s="64"/>
      <c r="AH42" s="64"/>
      <c r="AI42" s="64"/>
      <c r="AJ42" s="64"/>
      <c r="AK42" s="64"/>
      <c r="AL42" s="64"/>
      <c r="AM42" s="64"/>
      <c r="AN42" s="64"/>
      <c r="AO42" s="64"/>
      <c r="AP42" s="64"/>
      <c r="AQ42" s="64"/>
      <c r="AR42" s="64"/>
      <c r="AS42" s="64"/>
      <c r="AT42" s="64"/>
      <c r="AU42" s="64"/>
      <c r="AV42" s="64"/>
      <c r="AW42" s="64"/>
      <c r="AX42" s="64"/>
      <c r="AY42" s="64"/>
      <c r="AZ42" s="64"/>
      <c r="BA42" s="64"/>
      <c r="BB42" s="64"/>
      <c r="BC42" s="64"/>
      <c r="BD42" s="64"/>
      <c r="BE42" s="64"/>
      <c r="BF42" s="64"/>
      <c r="BG42" s="64"/>
      <c r="BH42" s="64"/>
      <c r="BI42" s="64"/>
      <c r="BJ42" s="64"/>
      <c r="BK42" s="64"/>
      <c r="BL42" s="64"/>
      <c r="BM42" s="64"/>
      <c r="BN42" s="64"/>
      <c r="BO42" s="64"/>
      <c r="BP42" s="64"/>
      <c r="BQ42" s="64"/>
      <c r="BR42" s="64"/>
      <c r="BS42" s="64"/>
      <c r="BT42" s="64"/>
      <c r="BU42" s="64"/>
    </row>
    <row r="43" spans="1:77" s="12" customFormat="1" x14ac:dyDescent="0.35">
      <c r="A43" s="1"/>
      <c r="B43" s="105" t="s">
        <v>114</v>
      </c>
      <c r="C43" s="108">
        <f>IF($H$13&lt;2030,FORECAST($H$13,O43:P43,$O$38:$P$38),FORECAST($H$13,P43:Q43,$P$38:$Q$38))</f>
        <v>8.1845177833333356</v>
      </c>
      <c r="D43" s="1"/>
      <c r="E43" s="1"/>
      <c r="F43" s="1"/>
      <c r="G43" s="133"/>
      <c r="H43" s="139">
        <f t="shared" si="3"/>
        <v>8.1845177833333356</v>
      </c>
      <c r="I43" s="165"/>
      <c r="J43" s="64"/>
      <c r="K43" s="49" t="s">
        <v>105</v>
      </c>
      <c r="L43" s="50" t="s">
        <v>115</v>
      </c>
      <c r="M43" s="51">
        <v>35</v>
      </c>
      <c r="N43" s="50" t="s">
        <v>107</v>
      </c>
      <c r="O43" s="52">
        <f>IF(L43="CO2eq",VLOOKUP(M43,'Emission Factors'!$G$3:$J$18,MATCH(K43,'Emission Factors'!$G$2:$J$2,0),0),IF(L43="CO",VLOOKUP($M43,'Emission Factors'!$G$19:$J$34,MATCH(K43,'Emission Factors'!$G$2:$J$2,0),0),IF(L43="PM2.5",VLOOKUP(M43,'Emission Factors'!$G$35:$J$50,MATCH(K43,'Emission Factors'!$G$2:$J$2,0),0),IF(L43="NOx",VLOOKUP(M43,'Emission Factors'!$G$51:$J$66,MATCH(K43,'Emission Factors'!$G$2:$J$2,0),0),VLOOKUP(M43,'Emission Factors'!$G$67:$J$82,MATCH(K43,'Emission Factors'!$G$2:$J$2,0),0)))))</f>
        <v>6.5010700000000005E-2</v>
      </c>
      <c r="P43" s="157">
        <f>IF($L43="CO2eq",VLOOKUP($M43,'Emission Factors'!$G$88:$J$103,MATCH($K43,'Emission Factors'!$G$87:$J$87,0),0),IF(L43="CO",VLOOKUP($M43,'Emission Factors'!$G$104:$J$119,MATCH(K43,'Emission Factors'!$G$2:$J$2,0),0),IF(L43="PM2.5",VLOOKUP(M43,'Emission Factors'!$G$120:$J$135,MATCH(K43,'Emission Factors'!$G$2:$J$2,0),0),IF(L43="NOx",VLOOKUP(M43,'Emission Factors'!$G$136:$J$151,MATCH(K43,'Emission Factors'!$G$2:$J$2,0),0),VLOOKUP(M43,'Emission Factors'!$G$152:$J$167,MATCH(K43,'Emission Factors'!$G$2:$J$2,0),0)))))</f>
        <v>1.6728199999999999E-2</v>
      </c>
      <c r="Q43" s="481">
        <f>IF($L43="CO2eq",VLOOKUP($M43, 'Emission Factors'!G184:J199,MATCH($K43,'Emission Factors'!$G$2:$J$2,0),0),IF(L43="CO",VLOOKUP($M43, 'Emission Factors'!$G$189:$J$204,MATCH(K43,'Emission Factors'!$G$2:$J$2,0),0),IF(L43="PM2.5",VLOOKUP(M43, 'Emission Factors'!$G$205:$J$220,MATCH(K43,'Emission Factors'!$G$2:$J$2,0),0),IF(L43="NOx",VLOOKUP(M43, 'Emission Factors'!$G$221:$J$236,MATCH(K43,'Emission Factors'!$G$2:$J$2,0),0),VLOOKUP(M43, 'Emission Factors'!$G$237:$J$252,MATCH(K43,'Emission Factors'!$G$2:$J$2,0),0)))))</f>
        <v>1.1268800000000001E-2</v>
      </c>
      <c r="R43" s="64"/>
      <c r="S43" s="64"/>
      <c r="T43" s="64"/>
      <c r="U43" s="64"/>
      <c r="V43" s="64"/>
      <c r="W43" s="64"/>
      <c r="X43" s="64"/>
      <c r="Y43" s="64"/>
      <c r="Z43" s="64"/>
      <c r="AA43" s="64"/>
      <c r="AB43" s="64"/>
      <c r="AC43" s="64"/>
      <c r="AD43" s="64"/>
      <c r="AE43" s="64"/>
      <c r="AF43" s="64"/>
      <c r="AG43" s="64"/>
      <c r="AH43" s="64"/>
      <c r="AI43" s="64"/>
      <c r="AJ43" s="64"/>
      <c r="AK43" s="64"/>
      <c r="AL43" s="64"/>
      <c r="AM43" s="64"/>
      <c r="AN43" s="64"/>
      <c r="AO43" s="64"/>
      <c r="AP43" s="64"/>
      <c r="AQ43" s="64"/>
      <c r="AR43" s="64"/>
      <c r="AS43" s="64"/>
      <c r="AT43" s="64"/>
      <c r="AU43" s="64"/>
      <c r="AV43" s="64"/>
      <c r="AW43" s="64"/>
      <c r="AX43" s="64"/>
      <c r="AY43" s="64"/>
      <c r="AZ43" s="64"/>
      <c r="BA43" s="64"/>
      <c r="BB43" s="64"/>
      <c r="BC43" s="64"/>
      <c r="BD43" s="64"/>
      <c r="BE43" s="64"/>
      <c r="BF43" s="64"/>
      <c r="BG43" s="64"/>
      <c r="BH43" s="64"/>
      <c r="BI43" s="64"/>
      <c r="BJ43" s="64"/>
      <c r="BK43" s="64"/>
      <c r="BL43" s="64"/>
      <c r="BM43" s="64"/>
      <c r="BN43" s="64"/>
      <c r="BO43" s="64"/>
      <c r="BP43" s="64"/>
      <c r="BQ43" s="64"/>
      <c r="BR43" s="64"/>
      <c r="BS43" s="64"/>
      <c r="BT43" s="64"/>
      <c r="BU43" s="64"/>
    </row>
    <row r="44" spans="1:77" s="12" customFormat="1" x14ac:dyDescent="0.35">
      <c r="A44" s="1"/>
      <c r="B44" s="1"/>
      <c r="C44" s="1"/>
      <c r="D44" s="1"/>
      <c r="E44" s="1"/>
      <c r="F44" s="1"/>
      <c r="G44" s="133"/>
      <c r="H44" s="133"/>
      <c r="I44" s="165"/>
      <c r="J44" s="64"/>
      <c r="K44" s="64"/>
      <c r="L44" s="64"/>
      <c r="M44" s="64"/>
      <c r="N44" s="65"/>
      <c r="O44" s="64"/>
      <c r="P44" s="64"/>
      <c r="Q44" s="64"/>
      <c r="R44" s="64"/>
      <c r="S44" s="64"/>
      <c r="T44" s="64"/>
      <c r="U44" s="64"/>
      <c r="V44" s="64"/>
      <c r="W44" s="64"/>
      <c r="X44" s="64"/>
      <c r="Y44" s="64"/>
      <c r="Z44" s="64"/>
      <c r="AA44" s="64"/>
      <c r="AB44" s="64"/>
      <c r="AC44" s="64"/>
      <c r="AD44" s="64"/>
      <c r="AE44" s="64"/>
      <c r="AF44" s="64"/>
      <c r="AG44" s="64"/>
      <c r="AH44" s="64"/>
      <c r="AI44" s="64"/>
      <c r="AJ44" s="64"/>
      <c r="AK44" s="64"/>
      <c r="AL44" s="64"/>
      <c r="AM44" s="64"/>
      <c r="AN44" s="64"/>
      <c r="AO44" s="64"/>
      <c r="AP44" s="64"/>
      <c r="AQ44" s="64"/>
      <c r="AR44" s="64"/>
      <c r="AS44" s="64"/>
      <c r="AT44" s="64"/>
      <c r="AU44" s="64"/>
      <c r="AV44" s="64"/>
      <c r="AW44" s="64"/>
      <c r="AX44" s="64"/>
      <c r="AY44" s="64"/>
      <c r="AZ44" s="64"/>
      <c r="BA44" s="64"/>
      <c r="BB44" s="64"/>
      <c r="BC44" s="64"/>
      <c r="BD44" s="64"/>
      <c r="BE44" s="64"/>
      <c r="BF44" s="64"/>
      <c r="BG44" s="64"/>
      <c r="BH44" s="64"/>
      <c r="BI44" s="64"/>
      <c r="BJ44" s="64"/>
      <c r="BK44" s="64"/>
      <c r="BL44" s="64"/>
      <c r="BM44" s="64"/>
      <c r="BN44" s="64"/>
      <c r="BO44" s="64"/>
      <c r="BP44" s="64"/>
      <c r="BQ44" s="64"/>
      <c r="BR44" s="64"/>
      <c r="BS44" s="64"/>
      <c r="BT44" s="64"/>
      <c r="BU44" s="64"/>
    </row>
    <row r="45" spans="1:77" s="12" customFormat="1" x14ac:dyDescent="0.35">
      <c r="B45" s="64"/>
      <c r="C45" s="64"/>
      <c r="D45" s="64"/>
      <c r="E45" s="64"/>
      <c r="F45" s="64"/>
      <c r="G45" s="133"/>
      <c r="H45" s="133"/>
      <c r="I45" s="165"/>
      <c r="J45" s="64"/>
      <c r="K45" s="64"/>
      <c r="L45" s="64"/>
      <c r="M45" s="64"/>
      <c r="N45" s="65"/>
      <c r="O45" s="64"/>
      <c r="P45" s="64"/>
      <c r="Q45" s="64"/>
      <c r="R45" s="64"/>
      <c r="S45" s="64"/>
      <c r="T45" s="64"/>
      <c r="U45" s="64"/>
      <c r="V45" s="64"/>
      <c r="W45" s="64"/>
      <c r="X45" s="64"/>
      <c r="Y45" s="64"/>
      <c r="Z45" s="64"/>
      <c r="AA45" s="64"/>
      <c r="AB45" s="64"/>
      <c r="AC45" s="64"/>
      <c r="AD45" s="64"/>
      <c r="AE45" s="64"/>
      <c r="AF45" s="64"/>
      <c r="AG45" s="64"/>
      <c r="AH45" s="64"/>
      <c r="AI45" s="64"/>
      <c r="AJ45" s="64"/>
      <c r="AK45" s="64"/>
      <c r="AL45" s="64"/>
      <c r="AM45" s="64"/>
      <c r="AN45" s="64"/>
      <c r="AO45" s="64"/>
      <c r="AP45" s="64"/>
      <c r="AQ45" s="64"/>
      <c r="AR45" s="64"/>
      <c r="AS45" s="64"/>
      <c r="AT45" s="64"/>
      <c r="AU45" s="64"/>
      <c r="AV45" s="64"/>
      <c r="AW45" s="64"/>
      <c r="AX45" s="64"/>
      <c r="AY45" s="64"/>
      <c r="AZ45" s="64"/>
      <c r="BA45" s="64"/>
      <c r="BB45" s="64"/>
      <c r="BC45" s="64"/>
      <c r="BD45" s="64"/>
      <c r="BE45" s="64"/>
      <c r="BF45" s="64"/>
      <c r="BG45" s="64"/>
      <c r="BH45" s="64"/>
      <c r="BI45" s="64"/>
      <c r="BJ45" s="64"/>
      <c r="BK45" s="64"/>
      <c r="BL45" s="64"/>
      <c r="BM45" s="64"/>
      <c r="BN45" s="64"/>
      <c r="BO45" s="64"/>
      <c r="BP45" s="64"/>
      <c r="BQ45" s="64"/>
      <c r="BR45" s="64"/>
      <c r="BS45" s="64"/>
      <c r="BT45" s="64"/>
      <c r="BU45" s="64"/>
      <c r="BV45" s="64"/>
      <c r="BW45" s="64"/>
      <c r="BX45" s="64"/>
      <c r="BY45" s="64"/>
    </row>
    <row r="46" spans="1:77" s="64" customFormat="1" ht="15.5" x14ac:dyDescent="0.35">
      <c r="A46" s="1"/>
      <c r="B46" s="61" t="s">
        <v>116</v>
      </c>
      <c r="C46" s="1"/>
      <c r="D46" s="1"/>
      <c r="E46" s="60"/>
      <c r="F46" s="60"/>
      <c r="G46" s="133"/>
      <c r="H46" s="133"/>
      <c r="I46" s="165"/>
      <c r="N46" s="65"/>
    </row>
    <row r="47" spans="1:77" s="60" customFormat="1" x14ac:dyDescent="0.35">
      <c r="B47" s="102" t="s">
        <v>84</v>
      </c>
      <c r="C47" s="102" t="s">
        <v>85</v>
      </c>
      <c r="G47" s="133"/>
      <c r="H47" s="133"/>
      <c r="I47" s="165"/>
      <c r="J47" s="64"/>
      <c r="K47" s="64"/>
      <c r="L47" s="65"/>
      <c r="M47" s="65"/>
      <c r="N47" s="65"/>
      <c r="O47" s="65"/>
      <c r="P47" s="65"/>
      <c r="Q47" s="65"/>
      <c r="R47" s="65"/>
      <c r="S47" s="65"/>
      <c r="T47" s="65"/>
      <c r="U47" s="65"/>
      <c r="V47" s="65"/>
      <c r="W47" s="65"/>
      <c r="X47" s="65"/>
      <c r="Y47" s="65"/>
      <c r="Z47" s="65"/>
      <c r="AA47" s="65"/>
      <c r="AB47" s="65"/>
      <c r="AC47" s="65"/>
      <c r="AD47" s="65"/>
      <c r="AE47" s="65"/>
      <c r="AF47" s="65"/>
      <c r="AG47" s="65"/>
      <c r="AH47" s="65"/>
      <c r="AI47" s="65"/>
      <c r="AJ47" s="65"/>
      <c r="AK47" s="65"/>
      <c r="AL47" s="65"/>
      <c r="AM47" s="65"/>
      <c r="AN47" s="65"/>
      <c r="AO47" s="65"/>
      <c r="AP47" s="65"/>
      <c r="AQ47" s="65"/>
      <c r="AR47" s="65"/>
      <c r="AS47" s="65"/>
      <c r="AT47" s="65"/>
      <c r="AU47" s="65"/>
      <c r="AV47" s="65"/>
      <c r="AW47" s="65"/>
      <c r="AX47" s="65"/>
      <c r="AY47" s="65"/>
      <c r="AZ47" s="65"/>
      <c r="BA47" s="65"/>
      <c r="BB47" s="65"/>
      <c r="BC47" s="65"/>
      <c r="BD47" s="65"/>
      <c r="BE47" s="65"/>
      <c r="BF47" s="65"/>
      <c r="BG47" s="65"/>
      <c r="BH47" s="65"/>
      <c r="BI47" s="65"/>
      <c r="BJ47" s="65"/>
      <c r="BK47" s="65"/>
      <c r="BL47" s="65"/>
      <c r="BM47" s="65"/>
      <c r="BN47" s="65"/>
      <c r="BO47" s="65"/>
      <c r="BP47" s="65"/>
      <c r="BQ47" s="65"/>
      <c r="BR47" s="65"/>
      <c r="BS47" s="65"/>
      <c r="BT47" s="65"/>
      <c r="BU47" s="65"/>
      <c r="BV47" s="65"/>
      <c r="BW47" s="65"/>
    </row>
    <row r="48" spans="1:77" s="60" customFormat="1" x14ac:dyDescent="0.35">
      <c r="B48" s="112" t="s">
        <v>62</v>
      </c>
      <c r="C48" s="131">
        <f>IF(SUM(I16:I17)&gt;0,"(Error]",H33*H17)</f>
        <v>0</v>
      </c>
      <c r="G48" s="133"/>
      <c r="H48" s="140">
        <f>C48</f>
        <v>0</v>
      </c>
      <c r="I48" s="165"/>
      <c r="J48" s="64"/>
      <c r="K48" s="64"/>
      <c r="L48" s="65"/>
      <c r="M48" s="65"/>
      <c r="N48" s="65"/>
      <c r="O48" s="65"/>
      <c r="P48" s="65"/>
      <c r="Q48" s="65"/>
      <c r="R48" s="65"/>
      <c r="S48" s="65"/>
      <c r="T48" s="65"/>
      <c r="U48" s="65"/>
      <c r="V48" s="65"/>
      <c r="W48" s="65"/>
      <c r="X48" s="65"/>
      <c r="Y48" s="65"/>
      <c r="Z48" s="65"/>
      <c r="AA48" s="65"/>
      <c r="AB48" s="65"/>
      <c r="AC48" s="65"/>
      <c r="AD48" s="65"/>
      <c r="AE48" s="65"/>
      <c r="AF48" s="65"/>
      <c r="AG48" s="65"/>
      <c r="AH48" s="65"/>
      <c r="AI48" s="65"/>
      <c r="AJ48" s="65"/>
      <c r="AK48" s="65"/>
      <c r="AL48" s="65"/>
      <c r="AM48" s="65"/>
      <c r="AN48" s="65"/>
      <c r="AO48" s="65"/>
      <c r="AP48" s="65"/>
      <c r="AQ48" s="65"/>
      <c r="AR48" s="65"/>
      <c r="AS48" s="65"/>
      <c r="AT48" s="65"/>
      <c r="AU48" s="65"/>
      <c r="AV48" s="65"/>
      <c r="AW48" s="65"/>
      <c r="AX48" s="65"/>
      <c r="AY48" s="65"/>
      <c r="AZ48" s="65"/>
      <c r="BA48" s="65"/>
      <c r="BB48" s="65"/>
      <c r="BC48" s="65"/>
      <c r="BD48" s="65"/>
      <c r="BE48" s="65"/>
      <c r="BF48" s="65"/>
      <c r="BG48" s="65"/>
      <c r="BH48" s="65"/>
      <c r="BI48" s="65"/>
      <c r="BJ48" s="65"/>
      <c r="BK48" s="65"/>
      <c r="BL48" s="65"/>
      <c r="BM48" s="65"/>
      <c r="BN48" s="65"/>
      <c r="BO48" s="65"/>
      <c r="BP48" s="65"/>
      <c r="BQ48" s="65"/>
      <c r="BR48" s="65"/>
      <c r="BS48" s="65"/>
      <c r="BT48" s="65"/>
      <c r="BU48" s="65"/>
      <c r="BV48" s="65"/>
      <c r="BW48" s="65"/>
    </row>
    <row r="49" spans="1:77" s="60" customFormat="1" x14ac:dyDescent="0.35">
      <c r="B49" s="111" t="s">
        <v>65</v>
      </c>
      <c r="C49" s="131">
        <f>IF(SUM(I$16:I$17)&gt;0,"(Error]",H$48*H39/1000)</f>
        <v>0</v>
      </c>
      <c r="G49" s="133"/>
      <c r="H49" s="140">
        <f>C49</f>
        <v>0</v>
      </c>
      <c r="I49" s="165"/>
      <c r="J49" s="64"/>
      <c r="K49" s="64"/>
      <c r="L49" s="65"/>
      <c r="M49" s="65"/>
      <c r="N49" s="65"/>
      <c r="O49" s="65"/>
      <c r="P49" s="65"/>
      <c r="Q49" s="65"/>
      <c r="R49" s="65"/>
      <c r="S49" s="65"/>
      <c r="T49" s="65"/>
      <c r="U49" s="65"/>
      <c r="V49" s="65"/>
      <c r="W49" s="65"/>
      <c r="X49" s="65"/>
      <c r="Y49" s="65"/>
      <c r="Z49" s="65"/>
      <c r="AA49" s="65"/>
      <c r="AB49" s="65"/>
      <c r="AC49" s="65"/>
      <c r="AD49" s="65"/>
      <c r="AE49" s="65"/>
      <c r="AF49" s="65"/>
      <c r="AG49" s="65"/>
      <c r="AH49" s="65"/>
      <c r="AI49" s="65"/>
      <c r="AJ49" s="65"/>
      <c r="AK49" s="65"/>
      <c r="AL49" s="65"/>
      <c r="AM49" s="65"/>
      <c r="AN49" s="65"/>
      <c r="AO49" s="65"/>
      <c r="AP49" s="65"/>
      <c r="AQ49" s="65"/>
      <c r="AR49" s="65"/>
      <c r="AS49" s="65"/>
      <c r="AT49" s="65"/>
      <c r="AU49" s="65"/>
      <c r="AV49" s="65"/>
      <c r="AW49" s="65"/>
      <c r="AX49" s="65"/>
      <c r="AY49" s="65"/>
      <c r="AZ49" s="65"/>
      <c r="BA49" s="65"/>
      <c r="BB49" s="65"/>
      <c r="BC49" s="65"/>
      <c r="BD49" s="65"/>
      <c r="BE49" s="65"/>
      <c r="BF49" s="65"/>
      <c r="BG49" s="65"/>
      <c r="BH49" s="65"/>
      <c r="BI49" s="65"/>
      <c r="BJ49" s="65"/>
      <c r="BK49" s="65"/>
      <c r="BL49" s="65"/>
      <c r="BM49" s="65"/>
      <c r="BN49" s="65"/>
      <c r="BO49" s="65"/>
      <c r="BP49" s="65"/>
      <c r="BQ49" s="65"/>
      <c r="BR49" s="65"/>
      <c r="BS49" s="65"/>
      <c r="BT49" s="65"/>
      <c r="BU49" s="65"/>
      <c r="BV49" s="65"/>
      <c r="BW49" s="65"/>
    </row>
    <row r="50" spans="1:77" s="60" customFormat="1" x14ac:dyDescent="0.35">
      <c r="B50" s="111" t="s">
        <v>66</v>
      </c>
      <c r="C50" s="131">
        <f>IF(SUM(I$16:I$17)&gt;0,"(Error]",H$48*H40/1000)</f>
        <v>0</v>
      </c>
      <c r="G50" s="133"/>
      <c r="H50" s="140">
        <f t="shared" ref="H50:H53" si="4">C50</f>
        <v>0</v>
      </c>
      <c r="I50" s="165"/>
      <c r="J50" s="64"/>
      <c r="K50" s="64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  <c r="W50" s="65"/>
      <c r="X50" s="65"/>
      <c r="Y50" s="65"/>
      <c r="Z50" s="65"/>
      <c r="AA50" s="65"/>
      <c r="AB50" s="65"/>
      <c r="AC50" s="65"/>
      <c r="AD50" s="65"/>
      <c r="AE50" s="65"/>
      <c r="AF50" s="65"/>
      <c r="AG50" s="65"/>
      <c r="AH50" s="65"/>
      <c r="AI50" s="65"/>
      <c r="AJ50" s="65"/>
      <c r="AK50" s="65"/>
      <c r="AL50" s="65"/>
      <c r="AM50" s="65"/>
      <c r="AN50" s="65"/>
      <c r="AO50" s="65"/>
      <c r="AP50" s="65"/>
      <c r="AQ50" s="65"/>
      <c r="AR50" s="65"/>
      <c r="AS50" s="65"/>
      <c r="AT50" s="65"/>
      <c r="AU50" s="65"/>
      <c r="AV50" s="65"/>
      <c r="AW50" s="65"/>
      <c r="AX50" s="65"/>
      <c r="AY50" s="65"/>
      <c r="AZ50" s="65"/>
      <c r="BA50" s="65"/>
      <c r="BB50" s="65"/>
      <c r="BC50" s="65"/>
      <c r="BD50" s="65"/>
      <c r="BE50" s="65"/>
      <c r="BF50" s="65"/>
      <c r="BG50" s="65"/>
      <c r="BH50" s="65"/>
      <c r="BI50" s="65"/>
      <c r="BJ50" s="65"/>
      <c r="BK50" s="65"/>
      <c r="BL50" s="65"/>
      <c r="BM50" s="65"/>
      <c r="BN50" s="65"/>
      <c r="BO50" s="65"/>
      <c r="BP50" s="65"/>
      <c r="BQ50" s="65"/>
      <c r="BR50" s="65"/>
      <c r="BS50" s="65"/>
      <c r="BT50" s="65"/>
      <c r="BU50" s="65"/>
      <c r="BV50" s="65"/>
      <c r="BW50" s="65"/>
    </row>
    <row r="51" spans="1:77" s="60" customFormat="1" x14ac:dyDescent="0.35">
      <c r="B51" s="111" t="s">
        <v>67</v>
      </c>
      <c r="C51" s="131">
        <f>IF(SUM(I$16:I$17)&gt;0,"(Error]",H$48*H41/1000)</f>
        <v>0</v>
      </c>
      <c r="D51" s="1"/>
      <c r="E51" s="1"/>
      <c r="F51" s="1"/>
      <c r="G51" s="133"/>
      <c r="H51" s="140">
        <f t="shared" si="4"/>
        <v>0</v>
      </c>
      <c r="I51" s="165"/>
      <c r="J51" s="64"/>
      <c r="K51" s="64"/>
      <c r="L51" s="64"/>
      <c r="M51" s="65"/>
      <c r="N51" s="65"/>
      <c r="O51" s="65"/>
      <c r="P51" s="65"/>
      <c r="Q51" s="65"/>
      <c r="R51" s="65"/>
      <c r="S51" s="65"/>
      <c r="T51" s="65"/>
      <c r="U51" s="65"/>
      <c r="V51" s="65"/>
      <c r="W51" s="65"/>
      <c r="X51" s="65"/>
      <c r="Y51" s="65"/>
      <c r="Z51" s="65"/>
      <c r="AA51" s="65"/>
      <c r="AB51" s="65"/>
      <c r="AC51" s="65"/>
      <c r="AD51" s="65"/>
      <c r="AE51" s="65"/>
      <c r="AF51" s="65"/>
      <c r="AG51" s="65"/>
      <c r="AH51" s="65"/>
      <c r="AI51" s="65"/>
      <c r="AJ51" s="65"/>
      <c r="AK51" s="65"/>
      <c r="AL51" s="65"/>
      <c r="AM51" s="65"/>
      <c r="AN51" s="65"/>
      <c r="AO51" s="65"/>
      <c r="AP51" s="65"/>
      <c r="AQ51" s="65"/>
      <c r="AR51" s="65"/>
      <c r="AS51" s="65"/>
      <c r="AT51" s="65"/>
      <c r="AU51" s="65"/>
      <c r="AV51" s="65"/>
      <c r="AW51" s="65"/>
      <c r="AX51" s="65"/>
      <c r="AY51" s="65"/>
      <c r="AZ51" s="65"/>
      <c r="BA51" s="65"/>
      <c r="BB51" s="65"/>
      <c r="BC51" s="65"/>
      <c r="BD51" s="65"/>
      <c r="BE51" s="65"/>
      <c r="BF51" s="65"/>
      <c r="BG51" s="65"/>
      <c r="BH51" s="65"/>
      <c r="BI51" s="65"/>
      <c r="BJ51" s="65"/>
      <c r="BK51" s="65"/>
      <c r="BL51" s="65"/>
      <c r="BM51" s="65"/>
      <c r="BN51" s="65"/>
      <c r="BO51" s="65"/>
      <c r="BP51" s="65"/>
      <c r="BQ51" s="65"/>
      <c r="BR51" s="65"/>
      <c r="BS51" s="65"/>
      <c r="BT51" s="65"/>
      <c r="BU51" s="65"/>
      <c r="BV51" s="65"/>
      <c r="BW51" s="65"/>
    </row>
    <row r="52" spans="1:77" x14ac:dyDescent="0.35">
      <c r="B52" s="111" t="s">
        <v>68</v>
      </c>
      <c r="C52" s="131">
        <f>IF(SUM(I$16:I$17)&gt;0,"(Error]",H$48*H42/1000)</f>
        <v>0</v>
      </c>
      <c r="G52" s="133"/>
      <c r="H52" s="140">
        <f t="shared" si="4"/>
        <v>0</v>
      </c>
      <c r="I52" s="165"/>
      <c r="M52" s="64"/>
      <c r="BX52" s="1"/>
    </row>
    <row r="53" spans="1:77" x14ac:dyDescent="0.35">
      <c r="B53" s="111" t="s">
        <v>69</v>
      </c>
      <c r="C53" s="131">
        <f>IF(SUM(I$16:I$17)&gt;0,"(Error]",H$48*H43/1000)</f>
        <v>0</v>
      </c>
      <c r="G53" s="133"/>
      <c r="H53" s="140">
        <f t="shared" si="4"/>
        <v>0</v>
      </c>
      <c r="I53" s="165"/>
      <c r="M53" s="64"/>
      <c r="BX53" s="1"/>
    </row>
    <row r="54" spans="1:77" x14ac:dyDescent="0.35">
      <c r="G54" s="133"/>
      <c r="H54" s="133"/>
      <c r="I54" s="165"/>
      <c r="M54" s="64"/>
      <c r="BY54" s="64"/>
    </row>
    <row r="55" spans="1:77" x14ac:dyDescent="0.35">
      <c r="A55" s="64"/>
      <c r="B55" s="64"/>
      <c r="C55" s="64"/>
      <c r="D55" s="64"/>
      <c r="E55" s="64"/>
      <c r="F55" s="64"/>
      <c r="G55" s="133"/>
      <c r="H55" s="133"/>
      <c r="I55" s="165"/>
      <c r="M55" s="64"/>
    </row>
    <row r="56" spans="1:77" s="64" customFormat="1" x14ac:dyDescent="0.35">
      <c r="G56" s="133"/>
      <c r="H56" s="133"/>
      <c r="I56" s="165"/>
    </row>
    <row r="57" spans="1:77" s="64" customFormat="1" x14ac:dyDescent="0.35">
      <c r="G57" s="133"/>
      <c r="H57" s="133"/>
      <c r="I57" s="165"/>
    </row>
    <row r="58" spans="1:77" s="64" customFormat="1" x14ac:dyDescent="0.35">
      <c r="G58" s="133"/>
      <c r="H58" s="133"/>
      <c r="I58" s="165"/>
    </row>
    <row r="59" spans="1:77" s="64" customFormat="1" x14ac:dyDescent="0.35">
      <c r="G59" s="133"/>
      <c r="H59" s="133"/>
      <c r="I59" s="165"/>
    </row>
    <row r="60" spans="1:77" s="64" customFormat="1" x14ac:dyDescent="0.35">
      <c r="G60" s="133"/>
      <c r="H60" s="133"/>
      <c r="I60" s="165"/>
    </row>
    <row r="61" spans="1:77" s="64" customFormat="1" x14ac:dyDescent="0.35">
      <c r="G61" s="133"/>
      <c r="H61" s="133"/>
      <c r="I61" s="165"/>
    </row>
    <row r="62" spans="1:77" s="64" customFormat="1" x14ac:dyDescent="0.35">
      <c r="G62" s="133"/>
      <c r="H62" s="133"/>
      <c r="I62" s="165"/>
    </row>
    <row r="63" spans="1:77" s="64" customFormat="1" x14ac:dyDescent="0.35">
      <c r="G63" s="133"/>
      <c r="H63" s="133"/>
      <c r="I63" s="165"/>
    </row>
    <row r="64" spans="1:77" s="64" customFormat="1" x14ac:dyDescent="0.35">
      <c r="G64" s="133"/>
      <c r="H64" s="133"/>
      <c r="I64" s="165"/>
    </row>
    <row r="65" spans="7:9" s="64" customFormat="1" x14ac:dyDescent="0.35">
      <c r="G65" s="133"/>
      <c r="H65" s="133"/>
      <c r="I65" s="165"/>
    </row>
    <row r="66" spans="7:9" s="64" customFormat="1" x14ac:dyDescent="0.35">
      <c r="G66" s="133"/>
      <c r="H66" s="133"/>
      <c r="I66" s="165"/>
    </row>
    <row r="67" spans="7:9" s="64" customFormat="1" x14ac:dyDescent="0.35">
      <c r="G67" s="133"/>
      <c r="H67" s="133"/>
      <c r="I67" s="165"/>
    </row>
    <row r="68" spans="7:9" s="64" customFormat="1" x14ac:dyDescent="0.35">
      <c r="G68" s="133"/>
      <c r="H68" s="133"/>
      <c r="I68" s="165"/>
    </row>
    <row r="69" spans="7:9" s="64" customFormat="1" x14ac:dyDescent="0.35">
      <c r="G69" s="133"/>
      <c r="H69" s="133"/>
      <c r="I69" s="165"/>
    </row>
    <row r="70" spans="7:9" s="64" customFormat="1" x14ac:dyDescent="0.35">
      <c r="G70" s="133"/>
      <c r="H70" s="133"/>
      <c r="I70" s="165"/>
    </row>
    <row r="71" spans="7:9" s="64" customFormat="1" x14ac:dyDescent="0.35">
      <c r="G71" s="133"/>
      <c r="H71" s="133"/>
      <c r="I71" s="165"/>
    </row>
    <row r="72" spans="7:9" s="64" customFormat="1" x14ac:dyDescent="0.35">
      <c r="G72" s="133"/>
      <c r="H72" s="133"/>
      <c r="I72" s="165"/>
    </row>
    <row r="73" spans="7:9" s="64" customFormat="1" x14ac:dyDescent="0.35">
      <c r="G73" s="133"/>
      <c r="H73" s="133"/>
      <c r="I73" s="165"/>
    </row>
    <row r="74" spans="7:9" s="64" customFormat="1" x14ac:dyDescent="0.35">
      <c r="G74" s="133"/>
      <c r="H74" s="133"/>
      <c r="I74" s="165"/>
    </row>
    <row r="75" spans="7:9" s="64" customFormat="1" x14ac:dyDescent="0.35">
      <c r="G75" s="133"/>
      <c r="H75" s="133"/>
      <c r="I75" s="165"/>
    </row>
    <row r="76" spans="7:9" s="64" customFormat="1" x14ac:dyDescent="0.35">
      <c r="G76" s="133"/>
      <c r="H76" s="133"/>
      <c r="I76" s="165"/>
    </row>
    <row r="77" spans="7:9" s="64" customFormat="1" x14ac:dyDescent="0.35">
      <c r="G77" s="133"/>
      <c r="H77" s="133"/>
      <c r="I77" s="165"/>
    </row>
    <row r="78" spans="7:9" s="64" customFormat="1" x14ac:dyDescent="0.35">
      <c r="G78" s="133"/>
      <c r="H78" s="133"/>
      <c r="I78" s="165"/>
    </row>
    <row r="79" spans="7:9" s="64" customFormat="1" x14ac:dyDescent="0.35">
      <c r="G79" s="133"/>
      <c r="H79" s="133"/>
      <c r="I79" s="165"/>
    </row>
    <row r="80" spans="7:9" s="64" customFormat="1" x14ac:dyDescent="0.35">
      <c r="G80" s="133"/>
      <c r="H80" s="133"/>
      <c r="I80" s="165"/>
    </row>
    <row r="81" spans="7:9" s="64" customFormat="1" x14ac:dyDescent="0.35">
      <c r="G81" s="133"/>
      <c r="H81" s="133"/>
      <c r="I81" s="165"/>
    </row>
    <row r="82" spans="7:9" s="64" customFormat="1" x14ac:dyDescent="0.35">
      <c r="G82" s="133"/>
      <c r="H82" s="133"/>
      <c r="I82" s="165"/>
    </row>
    <row r="83" spans="7:9" s="64" customFormat="1" x14ac:dyDescent="0.35">
      <c r="G83" s="133"/>
      <c r="H83" s="133"/>
      <c r="I83" s="165"/>
    </row>
    <row r="84" spans="7:9" s="64" customFormat="1" x14ac:dyDescent="0.35">
      <c r="G84" s="133"/>
      <c r="H84" s="133"/>
      <c r="I84" s="165"/>
    </row>
    <row r="85" spans="7:9" s="64" customFormat="1" x14ac:dyDescent="0.35">
      <c r="G85" s="133"/>
      <c r="H85" s="133"/>
      <c r="I85" s="165"/>
    </row>
    <row r="86" spans="7:9" s="64" customFormat="1" x14ac:dyDescent="0.35">
      <c r="G86" s="133"/>
      <c r="H86" s="133"/>
      <c r="I86" s="165"/>
    </row>
    <row r="87" spans="7:9" s="64" customFormat="1" x14ac:dyDescent="0.35">
      <c r="G87" s="133"/>
      <c r="H87" s="133"/>
      <c r="I87" s="165"/>
    </row>
    <row r="88" spans="7:9" s="64" customFormat="1" x14ac:dyDescent="0.35">
      <c r="G88" s="133"/>
      <c r="H88" s="133"/>
      <c r="I88" s="165"/>
    </row>
    <row r="89" spans="7:9" s="64" customFormat="1" x14ac:dyDescent="0.35">
      <c r="G89" s="133"/>
      <c r="H89" s="133"/>
      <c r="I89" s="165"/>
    </row>
    <row r="90" spans="7:9" s="64" customFormat="1" x14ac:dyDescent="0.35">
      <c r="G90" s="133"/>
      <c r="H90" s="133"/>
      <c r="I90" s="165"/>
    </row>
    <row r="91" spans="7:9" s="64" customFormat="1" x14ac:dyDescent="0.35">
      <c r="G91" s="133"/>
      <c r="H91" s="133"/>
      <c r="I91" s="165"/>
    </row>
    <row r="92" spans="7:9" s="64" customFormat="1" x14ac:dyDescent="0.35">
      <c r="G92" s="133"/>
      <c r="H92" s="133"/>
      <c r="I92" s="165"/>
    </row>
    <row r="93" spans="7:9" s="64" customFormat="1" x14ac:dyDescent="0.35">
      <c r="G93" s="133"/>
      <c r="H93" s="133"/>
      <c r="I93" s="165"/>
    </row>
    <row r="94" spans="7:9" s="64" customFormat="1" x14ac:dyDescent="0.35">
      <c r="G94" s="133"/>
      <c r="H94" s="133"/>
      <c r="I94" s="165"/>
    </row>
    <row r="95" spans="7:9" s="64" customFormat="1" x14ac:dyDescent="0.35">
      <c r="G95" s="133"/>
      <c r="H95" s="133"/>
      <c r="I95" s="165"/>
    </row>
    <row r="96" spans="7:9" s="64" customFormat="1" x14ac:dyDescent="0.35">
      <c r="G96" s="133"/>
      <c r="H96" s="133"/>
      <c r="I96" s="165"/>
    </row>
    <row r="97" spans="7:9" s="64" customFormat="1" x14ac:dyDescent="0.35">
      <c r="G97" s="133"/>
      <c r="H97" s="133"/>
      <c r="I97" s="165"/>
    </row>
    <row r="98" spans="7:9" s="64" customFormat="1" x14ac:dyDescent="0.35">
      <c r="G98" s="133"/>
      <c r="H98" s="133"/>
      <c r="I98" s="165"/>
    </row>
    <row r="99" spans="7:9" s="64" customFormat="1" x14ac:dyDescent="0.35">
      <c r="G99" s="133"/>
      <c r="H99" s="133"/>
      <c r="I99" s="165"/>
    </row>
    <row r="100" spans="7:9" s="64" customFormat="1" x14ac:dyDescent="0.35">
      <c r="G100" s="133"/>
      <c r="H100" s="133"/>
      <c r="I100" s="165"/>
    </row>
    <row r="101" spans="7:9" s="64" customFormat="1" x14ac:dyDescent="0.35">
      <c r="G101" s="133"/>
      <c r="H101" s="133"/>
      <c r="I101" s="165"/>
    </row>
    <row r="102" spans="7:9" s="64" customFormat="1" x14ac:dyDescent="0.35">
      <c r="G102" s="133"/>
      <c r="H102" s="133"/>
      <c r="I102" s="165"/>
    </row>
    <row r="103" spans="7:9" s="64" customFormat="1" x14ac:dyDescent="0.35">
      <c r="G103" s="133"/>
      <c r="H103" s="133"/>
      <c r="I103" s="165"/>
    </row>
    <row r="104" spans="7:9" s="64" customFormat="1" x14ac:dyDescent="0.35">
      <c r="G104" s="133"/>
      <c r="H104" s="133"/>
      <c r="I104" s="165"/>
    </row>
    <row r="105" spans="7:9" s="64" customFormat="1" x14ac:dyDescent="0.35">
      <c r="G105" s="133"/>
      <c r="H105" s="133"/>
      <c r="I105" s="165"/>
    </row>
    <row r="106" spans="7:9" s="64" customFormat="1" x14ac:dyDescent="0.35">
      <c r="G106" s="133"/>
      <c r="H106" s="133"/>
      <c r="I106" s="165"/>
    </row>
    <row r="107" spans="7:9" s="64" customFormat="1" x14ac:dyDescent="0.35">
      <c r="G107" s="133"/>
      <c r="H107" s="133"/>
      <c r="I107" s="165"/>
    </row>
    <row r="108" spans="7:9" s="64" customFormat="1" x14ac:dyDescent="0.35">
      <c r="G108" s="133"/>
      <c r="H108" s="133"/>
      <c r="I108" s="165"/>
    </row>
    <row r="109" spans="7:9" s="64" customFormat="1" x14ac:dyDescent="0.35">
      <c r="G109" s="133"/>
      <c r="H109" s="133"/>
      <c r="I109" s="165"/>
    </row>
    <row r="110" spans="7:9" s="64" customFormat="1" x14ac:dyDescent="0.35">
      <c r="G110" s="133"/>
      <c r="H110" s="133"/>
      <c r="I110" s="165"/>
    </row>
    <row r="111" spans="7:9" s="64" customFormat="1" x14ac:dyDescent="0.35">
      <c r="G111" s="133"/>
      <c r="H111" s="133"/>
      <c r="I111" s="165"/>
    </row>
    <row r="112" spans="7:9" s="64" customFormat="1" x14ac:dyDescent="0.35">
      <c r="G112" s="133"/>
      <c r="H112" s="133"/>
      <c r="I112" s="165"/>
    </row>
    <row r="113" spans="7:9" s="64" customFormat="1" x14ac:dyDescent="0.35">
      <c r="G113" s="133"/>
      <c r="H113" s="133"/>
      <c r="I113" s="165"/>
    </row>
    <row r="114" spans="7:9" s="64" customFormat="1" x14ac:dyDescent="0.35">
      <c r="G114" s="133"/>
      <c r="H114" s="133"/>
      <c r="I114" s="165"/>
    </row>
    <row r="115" spans="7:9" s="64" customFormat="1" x14ac:dyDescent="0.35">
      <c r="G115" s="133"/>
      <c r="H115" s="133"/>
      <c r="I115" s="165"/>
    </row>
    <row r="116" spans="7:9" s="64" customFormat="1" x14ac:dyDescent="0.35">
      <c r="G116" s="133"/>
      <c r="H116" s="133"/>
      <c r="I116" s="165"/>
    </row>
    <row r="117" spans="7:9" s="64" customFormat="1" x14ac:dyDescent="0.35">
      <c r="G117" s="133"/>
      <c r="H117" s="133"/>
      <c r="I117" s="165"/>
    </row>
    <row r="118" spans="7:9" s="64" customFormat="1" x14ac:dyDescent="0.35">
      <c r="G118" s="133"/>
      <c r="H118" s="133"/>
      <c r="I118" s="165"/>
    </row>
    <row r="119" spans="7:9" s="64" customFormat="1" x14ac:dyDescent="0.35">
      <c r="G119" s="133"/>
      <c r="H119" s="133"/>
      <c r="I119" s="165"/>
    </row>
    <row r="120" spans="7:9" s="64" customFormat="1" x14ac:dyDescent="0.35">
      <c r="G120" s="133"/>
      <c r="H120" s="133"/>
      <c r="I120" s="165"/>
    </row>
    <row r="121" spans="7:9" s="64" customFormat="1" x14ac:dyDescent="0.35">
      <c r="G121" s="133"/>
      <c r="H121" s="133"/>
      <c r="I121" s="165"/>
    </row>
    <row r="122" spans="7:9" s="64" customFormat="1" x14ac:dyDescent="0.35">
      <c r="G122" s="133"/>
      <c r="H122" s="133"/>
      <c r="I122" s="165"/>
    </row>
    <row r="123" spans="7:9" s="64" customFormat="1" x14ac:dyDescent="0.35">
      <c r="G123" s="133"/>
      <c r="H123" s="133"/>
      <c r="I123" s="165"/>
    </row>
    <row r="124" spans="7:9" s="64" customFormat="1" x14ac:dyDescent="0.35">
      <c r="G124" s="133"/>
      <c r="H124" s="133"/>
      <c r="I124" s="165"/>
    </row>
    <row r="125" spans="7:9" s="64" customFormat="1" x14ac:dyDescent="0.35">
      <c r="G125" s="133"/>
      <c r="H125" s="133"/>
      <c r="I125" s="165"/>
    </row>
    <row r="126" spans="7:9" s="64" customFormat="1" x14ac:dyDescent="0.35">
      <c r="G126" s="133"/>
      <c r="H126" s="133"/>
      <c r="I126" s="165"/>
    </row>
    <row r="127" spans="7:9" s="64" customFormat="1" x14ac:dyDescent="0.35">
      <c r="G127" s="133"/>
      <c r="H127" s="133"/>
      <c r="I127" s="165"/>
    </row>
    <row r="128" spans="7:9" s="64" customFormat="1" x14ac:dyDescent="0.35">
      <c r="G128" s="133"/>
      <c r="H128" s="133"/>
      <c r="I128" s="165"/>
    </row>
    <row r="129" spans="7:9" s="64" customFormat="1" x14ac:dyDescent="0.35">
      <c r="G129" s="133"/>
      <c r="H129" s="133"/>
      <c r="I129" s="165"/>
    </row>
    <row r="130" spans="7:9" s="64" customFormat="1" x14ac:dyDescent="0.35">
      <c r="G130" s="133"/>
      <c r="H130" s="133"/>
      <c r="I130" s="165"/>
    </row>
    <row r="131" spans="7:9" s="64" customFormat="1" x14ac:dyDescent="0.35">
      <c r="G131" s="133"/>
      <c r="H131" s="133"/>
      <c r="I131" s="165"/>
    </row>
    <row r="132" spans="7:9" s="64" customFormat="1" x14ac:dyDescent="0.35">
      <c r="G132" s="133"/>
      <c r="H132" s="133"/>
      <c r="I132" s="165"/>
    </row>
    <row r="133" spans="7:9" s="64" customFormat="1" x14ac:dyDescent="0.35">
      <c r="G133" s="133"/>
      <c r="H133" s="133"/>
      <c r="I133" s="165"/>
    </row>
    <row r="134" spans="7:9" s="64" customFormat="1" x14ac:dyDescent="0.35">
      <c r="G134" s="133"/>
      <c r="H134" s="133"/>
      <c r="I134" s="165"/>
    </row>
    <row r="135" spans="7:9" s="64" customFormat="1" x14ac:dyDescent="0.35">
      <c r="G135" s="133"/>
      <c r="H135" s="133"/>
      <c r="I135" s="165"/>
    </row>
    <row r="136" spans="7:9" s="64" customFormat="1" x14ac:dyDescent="0.35">
      <c r="G136" s="133"/>
      <c r="H136" s="133"/>
      <c r="I136" s="165"/>
    </row>
    <row r="137" spans="7:9" s="64" customFormat="1" x14ac:dyDescent="0.35">
      <c r="G137" s="133"/>
      <c r="H137" s="133"/>
      <c r="I137" s="165"/>
    </row>
    <row r="138" spans="7:9" s="64" customFormat="1" x14ac:dyDescent="0.35">
      <c r="G138" s="133"/>
      <c r="H138" s="133"/>
      <c r="I138" s="165"/>
    </row>
    <row r="139" spans="7:9" s="64" customFormat="1" x14ac:dyDescent="0.35">
      <c r="G139" s="133"/>
      <c r="H139" s="133"/>
      <c r="I139" s="165"/>
    </row>
    <row r="140" spans="7:9" s="64" customFormat="1" x14ac:dyDescent="0.35">
      <c r="G140" s="133"/>
      <c r="H140" s="133"/>
      <c r="I140" s="165"/>
    </row>
    <row r="141" spans="7:9" s="64" customFormat="1" x14ac:dyDescent="0.35">
      <c r="G141" s="133"/>
      <c r="H141" s="133"/>
      <c r="I141" s="165"/>
    </row>
    <row r="142" spans="7:9" s="64" customFormat="1" x14ac:dyDescent="0.35">
      <c r="G142" s="133"/>
      <c r="H142" s="133"/>
      <c r="I142" s="165"/>
    </row>
    <row r="143" spans="7:9" s="64" customFormat="1" x14ac:dyDescent="0.35">
      <c r="G143" s="133"/>
      <c r="H143" s="133"/>
      <c r="I143" s="165"/>
    </row>
    <row r="144" spans="7:9" s="64" customFormat="1" x14ac:dyDescent="0.35">
      <c r="G144" s="133"/>
      <c r="H144" s="133"/>
      <c r="I144" s="165"/>
    </row>
    <row r="145" spans="1:76" s="64" customFormat="1" x14ac:dyDescent="0.35">
      <c r="G145" s="133"/>
      <c r="H145" s="133"/>
      <c r="I145" s="165"/>
    </row>
    <row r="146" spans="1:76" s="64" customFormat="1" x14ac:dyDescent="0.35">
      <c r="G146" s="133"/>
      <c r="H146" s="133"/>
      <c r="I146" s="165"/>
    </row>
    <row r="147" spans="1:76" s="64" customFormat="1" x14ac:dyDescent="0.35">
      <c r="G147" s="133"/>
      <c r="H147" s="133"/>
      <c r="I147" s="165"/>
    </row>
    <row r="148" spans="1:76" s="64" customFormat="1" x14ac:dyDescent="0.35">
      <c r="G148" s="133"/>
      <c r="H148" s="133"/>
      <c r="I148" s="165"/>
    </row>
    <row r="149" spans="1:76" s="64" customFormat="1" x14ac:dyDescent="0.35">
      <c r="G149" s="133"/>
      <c r="H149" s="133"/>
      <c r="I149" s="165"/>
    </row>
    <row r="150" spans="1:76" s="64" customFormat="1" x14ac:dyDescent="0.35">
      <c r="G150" s="133"/>
      <c r="H150" s="133"/>
      <c r="I150" s="165"/>
    </row>
    <row r="151" spans="1:76" s="64" customFormat="1" x14ac:dyDescent="0.35">
      <c r="G151" s="133"/>
      <c r="H151" s="133"/>
      <c r="I151" s="165"/>
    </row>
    <row r="152" spans="1:76" s="64" customFormat="1" x14ac:dyDescent="0.35">
      <c r="A152" s="13"/>
      <c r="B152" s="13"/>
      <c r="C152" s="13"/>
      <c r="D152" s="13"/>
      <c r="E152" s="13"/>
      <c r="F152" s="13"/>
      <c r="G152" s="170"/>
      <c r="H152" s="170"/>
      <c r="I152" s="167"/>
      <c r="M152" s="13"/>
    </row>
    <row r="153" spans="1:76" s="13" customFormat="1" x14ac:dyDescent="0.35">
      <c r="A153" s="1"/>
      <c r="B153" s="1"/>
      <c r="C153" s="1"/>
      <c r="D153" s="1"/>
      <c r="E153" s="1"/>
      <c r="F153" s="1"/>
      <c r="G153" s="171"/>
      <c r="H153" s="171"/>
      <c r="I153" s="167"/>
      <c r="J153" s="64"/>
      <c r="K153" s="64"/>
      <c r="L153" s="64"/>
      <c r="M153" s="1"/>
      <c r="N153" s="64"/>
      <c r="O153" s="64"/>
      <c r="P153" s="64"/>
      <c r="Q153" s="64"/>
      <c r="R153" s="64"/>
      <c r="S153" s="64"/>
      <c r="T153" s="64"/>
      <c r="U153" s="64"/>
      <c r="V153" s="64"/>
      <c r="W153" s="64"/>
      <c r="X153" s="64"/>
      <c r="Y153" s="64"/>
      <c r="Z153" s="64"/>
      <c r="AA153" s="64"/>
      <c r="AB153" s="64"/>
      <c r="AC153" s="64"/>
      <c r="AD153" s="64"/>
      <c r="AE153" s="64"/>
      <c r="AF153" s="64"/>
      <c r="AG153" s="64"/>
      <c r="AH153" s="64"/>
      <c r="AI153" s="64"/>
      <c r="AJ153" s="64"/>
      <c r="AK153" s="64"/>
      <c r="AL153" s="64"/>
      <c r="AM153" s="64"/>
      <c r="AN153" s="64"/>
      <c r="AO153" s="64"/>
      <c r="AP153" s="64"/>
      <c r="AQ153" s="64"/>
      <c r="AR153" s="64"/>
      <c r="AS153" s="64"/>
      <c r="AT153" s="64"/>
      <c r="AU153" s="64"/>
      <c r="AV153" s="64"/>
      <c r="AW153" s="64"/>
      <c r="AX153" s="64"/>
      <c r="AY153" s="64"/>
      <c r="AZ153" s="64"/>
      <c r="BA153" s="64"/>
      <c r="BB153" s="64"/>
      <c r="BC153" s="64"/>
      <c r="BD153" s="64"/>
      <c r="BE153" s="64"/>
      <c r="BF153" s="64"/>
      <c r="BG153" s="64"/>
      <c r="BH153" s="64"/>
      <c r="BI153" s="64"/>
      <c r="BJ153" s="64"/>
      <c r="BK153" s="64"/>
      <c r="BL153" s="64"/>
      <c r="BM153" s="64"/>
      <c r="BN153" s="64"/>
      <c r="BO153" s="64"/>
      <c r="BP153" s="64"/>
      <c r="BQ153" s="64"/>
      <c r="BR153" s="64"/>
      <c r="BS153" s="64"/>
      <c r="BT153" s="64"/>
      <c r="BU153" s="64"/>
      <c r="BV153" s="64"/>
      <c r="BW153" s="64"/>
      <c r="BX153" s="64"/>
    </row>
  </sheetData>
  <sheetProtection algorithmName="SHA-512" hashValue="HTyYxSQLX7Fz9vlYMvMmnrdQsuFwF3SCXdyZuCaNfPoUbvG/1iWMl0A/BJ+aD7l3E9RvIX53OhBXcMNYGnOzjA==" saltValue="FNboL7irm54T/FUHR3yqSQ==" spinCount="100000" sheet="1" objects="1" scenarios="1"/>
  <protectedRanges>
    <protectedRange sqref="D16:D17 C13:C17" name="Range1"/>
  </protectedRanges>
  <mergeCells count="6">
    <mergeCell ref="B8:E8"/>
    <mergeCell ref="C3:E3"/>
    <mergeCell ref="B4:E4"/>
    <mergeCell ref="B5:E5"/>
    <mergeCell ref="B6:E6"/>
    <mergeCell ref="B7:E7"/>
  </mergeCell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128DBCEB-875E-4F07-A8BF-A69904ECE6C1}">
          <x14:formula1>
            <xm:f>Assumptions!$AE$3:$AE$4</xm:f>
          </x14:formula1>
          <xm:sqref>C14</xm:sqref>
        </x14:dataValidation>
        <x14:dataValidation type="list" allowBlank="1" showInputMessage="1" showErrorMessage="1" xr:uid="{CA861052-5886-429A-91B1-452E077E94BF}">
          <x14:formula1>
            <xm:f>Assumptions!$T$3:$T$25</xm:f>
          </x14:formula1>
          <xm:sqref>C13</xm:sqref>
        </x14:dataValidation>
        <x14:dataValidation type="list" allowBlank="1" showInputMessage="1" showErrorMessage="1" xr:uid="{E4B4E2DB-EA57-4D09-B3B1-6F4323866C04}">
          <x14:formula1>
            <xm:f>Assumptions!$U$3:$U$4</xm:f>
          </x14:formula1>
          <xm:sqref>D16:D17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9">
    <tabColor theme="7"/>
  </sheetPr>
  <dimension ref="A1:BY152"/>
  <sheetViews>
    <sheetView topLeftCell="A24" zoomScaleNormal="100" zoomScalePageLayoutView="80" workbookViewId="0">
      <selection activeCell="G4" sqref="G1:Q1048576"/>
    </sheetView>
  </sheetViews>
  <sheetFormatPr defaultColWidth="8.7265625" defaultRowHeight="14.5" x14ac:dyDescent="0.35"/>
  <cols>
    <col min="1" max="1" width="3.7265625" style="1" customWidth="1"/>
    <col min="2" max="2" width="62" style="1" customWidth="1"/>
    <col min="3" max="3" width="16.7265625" style="1" customWidth="1"/>
    <col min="4" max="4" width="18.7265625" style="1" customWidth="1"/>
    <col min="5" max="5" width="15" style="1" customWidth="1"/>
    <col min="6" max="6" width="4.7265625" style="1" customWidth="1"/>
    <col min="7" max="7" width="12.26953125" style="171" hidden="1" customWidth="1"/>
    <col min="8" max="8" width="10.26953125" style="171" hidden="1" customWidth="1"/>
    <col min="9" max="9" width="12.453125" style="167" hidden="1" customWidth="1"/>
    <col min="10" max="10" width="22.453125" style="64" hidden="1" customWidth="1"/>
    <col min="11" max="11" width="10.26953125" style="64" hidden="1" customWidth="1"/>
    <col min="12" max="12" width="14" style="64" hidden="1" customWidth="1"/>
    <col min="13" max="13" width="8.453125" style="1" hidden="1" customWidth="1"/>
    <col min="14" max="14" width="13.7265625" style="64" hidden="1" customWidth="1"/>
    <col min="15" max="17" width="8.453125" style="64" hidden="1" customWidth="1"/>
    <col min="18" max="18" width="26.26953125" style="64" customWidth="1"/>
    <col min="19" max="45" width="8.453125" style="64" customWidth="1"/>
    <col min="46" max="76" width="8.7265625" style="64"/>
    <col min="77" max="16384" width="8.7265625" style="1"/>
  </cols>
  <sheetData>
    <row r="1" spans="1:76" s="66" customFormat="1" ht="28.5" x14ac:dyDescent="0.35">
      <c r="A1" s="63" t="s">
        <v>168</v>
      </c>
      <c r="B1" s="64"/>
      <c r="C1" s="64"/>
      <c r="D1" s="64"/>
      <c r="E1" s="64"/>
      <c r="G1" s="168"/>
      <c r="H1" s="261"/>
      <c r="I1" s="165"/>
    </row>
    <row r="2" spans="1:76" s="66" customFormat="1" ht="16.5" customHeight="1" x14ac:dyDescent="0.35">
      <c r="A2" s="63"/>
      <c r="B2" s="64"/>
      <c r="C2" s="64"/>
      <c r="D2" s="64"/>
      <c r="E2" s="64"/>
      <c r="G2" s="168"/>
      <c r="H2" s="168"/>
      <c r="I2" s="165"/>
    </row>
    <row r="3" spans="1:76" s="66" customFormat="1" ht="23.5" x14ac:dyDescent="0.35">
      <c r="A3" s="185"/>
      <c r="B3" s="61" t="s">
        <v>77</v>
      </c>
      <c r="C3" s="549"/>
      <c r="D3" s="549"/>
      <c r="E3" s="549"/>
      <c r="F3" s="184"/>
      <c r="G3" s="168"/>
      <c r="H3" s="168"/>
      <c r="I3" s="165"/>
    </row>
    <row r="4" spans="1:76" customFormat="1" ht="23.5" x14ac:dyDescent="0.35">
      <c r="A4" s="186"/>
      <c r="B4" s="550" t="s">
        <v>78</v>
      </c>
      <c r="C4" s="550"/>
      <c r="D4" s="550"/>
      <c r="E4" s="550"/>
      <c r="F4" s="187"/>
      <c r="G4" s="66"/>
      <c r="H4" s="64"/>
      <c r="I4" s="64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66"/>
      <c r="AI4" s="66"/>
      <c r="AJ4" s="66"/>
      <c r="AK4" s="66"/>
      <c r="AL4" s="66"/>
      <c r="AM4" s="66"/>
      <c r="AN4" s="66"/>
    </row>
    <row r="5" spans="1:76" customFormat="1" ht="30" customHeight="1" x14ac:dyDescent="0.35">
      <c r="A5" s="186"/>
      <c r="B5" s="551" t="s">
        <v>79</v>
      </c>
      <c r="C5" s="551"/>
      <c r="D5" s="551"/>
      <c r="E5" s="551"/>
      <c r="F5" s="187"/>
      <c r="G5" s="66"/>
      <c r="H5" s="64"/>
      <c r="I5" s="64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66"/>
      <c r="W5" s="66"/>
      <c r="X5" s="66"/>
      <c r="Y5" s="66"/>
      <c r="Z5" s="66"/>
      <c r="AA5" s="66"/>
      <c r="AB5" s="66"/>
      <c r="AC5" s="66"/>
      <c r="AD5" s="66"/>
      <c r="AE5" s="66"/>
      <c r="AF5" s="66"/>
      <c r="AG5" s="66"/>
      <c r="AH5" s="66"/>
      <c r="AI5" s="66"/>
      <c r="AJ5" s="66"/>
      <c r="AK5" s="66"/>
      <c r="AL5" s="66"/>
      <c r="AM5" s="66"/>
      <c r="AN5" s="66"/>
    </row>
    <row r="6" spans="1:76" customFormat="1" ht="29.25" customHeight="1" x14ac:dyDescent="0.35">
      <c r="A6" s="186"/>
      <c r="B6" s="552" t="s">
        <v>80</v>
      </c>
      <c r="C6" s="552"/>
      <c r="D6" s="552"/>
      <c r="E6" s="552"/>
      <c r="F6" s="187"/>
      <c r="G6" s="66"/>
      <c r="H6" s="64"/>
      <c r="I6" s="64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  <c r="AA6" s="66"/>
      <c r="AB6" s="66"/>
      <c r="AC6" s="66"/>
      <c r="AD6" s="66"/>
      <c r="AE6" s="66"/>
      <c r="AF6" s="66"/>
      <c r="AG6" s="66"/>
      <c r="AH6" s="66"/>
      <c r="AI6" s="66"/>
      <c r="AJ6" s="66"/>
      <c r="AK6" s="66"/>
      <c r="AL6" s="66"/>
      <c r="AM6" s="66"/>
      <c r="AN6" s="66"/>
    </row>
    <row r="7" spans="1:76" customFormat="1" ht="27" customHeight="1" x14ac:dyDescent="0.35">
      <c r="A7" s="186"/>
      <c r="B7" s="553" t="s">
        <v>81</v>
      </c>
      <c r="C7" s="553"/>
      <c r="D7" s="553"/>
      <c r="E7" s="553"/>
      <c r="F7" s="187"/>
      <c r="G7" s="66"/>
      <c r="H7" s="64"/>
      <c r="I7" s="64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66"/>
      <c r="Y7" s="66"/>
      <c r="Z7" s="66"/>
      <c r="AA7" s="66"/>
      <c r="AB7" s="66"/>
      <c r="AC7" s="66"/>
      <c r="AD7" s="66"/>
      <c r="AE7" s="66"/>
      <c r="AF7" s="66"/>
      <c r="AG7" s="66"/>
      <c r="AH7" s="66"/>
      <c r="AI7" s="66"/>
      <c r="AJ7" s="66"/>
      <c r="AK7" s="66"/>
      <c r="AL7" s="66"/>
      <c r="AM7" s="66"/>
      <c r="AN7" s="66"/>
    </row>
    <row r="8" spans="1:76" customFormat="1" ht="23.5" x14ac:dyDescent="0.35">
      <c r="A8" s="186"/>
      <c r="B8" s="548" t="s">
        <v>82</v>
      </c>
      <c r="C8" s="548"/>
      <c r="D8" s="548"/>
      <c r="E8" s="548"/>
      <c r="F8" s="187"/>
      <c r="G8" s="66"/>
      <c r="H8" s="64"/>
      <c r="I8" s="64"/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  <c r="U8" s="66"/>
      <c r="V8" s="66"/>
      <c r="W8" s="66"/>
      <c r="X8" s="66"/>
      <c r="Y8" s="66"/>
      <c r="Z8" s="66"/>
      <c r="AA8" s="66"/>
      <c r="AB8" s="66"/>
      <c r="AC8" s="66"/>
      <c r="AD8" s="66"/>
      <c r="AE8" s="66"/>
      <c r="AF8" s="66"/>
      <c r="AG8" s="66"/>
      <c r="AH8" s="66"/>
      <c r="AI8" s="66"/>
      <c r="AJ8" s="66"/>
      <c r="AK8" s="66"/>
      <c r="AL8" s="66"/>
      <c r="AM8" s="66"/>
      <c r="AN8" s="66"/>
    </row>
    <row r="9" spans="1:76" s="66" customFormat="1" x14ac:dyDescent="0.35">
      <c r="A9" s="184"/>
      <c r="B9" s="184"/>
      <c r="C9" s="184"/>
      <c r="D9" s="184"/>
      <c r="E9" s="184"/>
      <c r="F9" s="184"/>
      <c r="G9" s="168"/>
      <c r="H9" s="168"/>
      <c r="I9" s="165"/>
    </row>
    <row r="10" spans="1:76" s="66" customFormat="1" ht="23.5" x14ac:dyDescent="0.35">
      <c r="A10" s="63"/>
      <c r="B10" s="64"/>
      <c r="C10" s="64"/>
      <c r="D10" s="64"/>
      <c r="E10" s="64"/>
      <c r="G10" s="168"/>
      <c r="H10" s="168"/>
      <c r="I10" s="165"/>
    </row>
    <row r="11" spans="1:76" s="13" customFormat="1" ht="15.5" x14ac:dyDescent="0.35">
      <c r="A11" s="1"/>
      <c r="B11" s="61" t="s">
        <v>83</v>
      </c>
      <c r="C11" s="1"/>
      <c r="D11" s="1"/>
      <c r="E11" s="1"/>
      <c r="F11" s="1"/>
      <c r="G11" s="133"/>
      <c r="H11" s="133"/>
      <c r="I11" s="165"/>
      <c r="J11" s="66"/>
      <c r="K11" s="66"/>
      <c r="L11" s="64"/>
      <c r="M11" s="64"/>
      <c r="N11" s="64"/>
      <c r="O11" s="64"/>
      <c r="P11" s="64"/>
      <c r="Q11" s="64"/>
      <c r="R11" s="64"/>
      <c r="S11" s="64"/>
      <c r="T11" s="64"/>
      <c r="U11" s="64"/>
      <c r="V11" s="64"/>
      <c r="W11" s="64"/>
      <c r="X11" s="64"/>
      <c r="Y11" s="64"/>
      <c r="Z11" s="64"/>
      <c r="AA11" s="64"/>
      <c r="AB11" s="64"/>
      <c r="AC11" s="64"/>
      <c r="AD11" s="64"/>
      <c r="AE11" s="64"/>
      <c r="AF11" s="64"/>
      <c r="AG11" s="64"/>
      <c r="AH11" s="64"/>
      <c r="AI11" s="64"/>
      <c r="AJ11" s="64"/>
      <c r="AK11" s="64"/>
      <c r="AL11" s="64"/>
      <c r="AM11" s="64"/>
      <c r="AN11" s="64"/>
      <c r="AO11" s="64"/>
      <c r="AP11" s="64"/>
      <c r="AQ11" s="64"/>
      <c r="AR11" s="64"/>
      <c r="AS11" s="64"/>
      <c r="AT11" s="64"/>
      <c r="AU11" s="64"/>
      <c r="AV11" s="64"/>
      <c r="AW11" s="64"/>
      <c r="AX11" s="64"/>
      <c r="AY11" s="64"/>
      <c r="AZ11" s="64"/>
      <c r="BA11" s="64"/>
      <c r="BB11" s="64"/>
      <c r="BC11" s="64"/>
      <c r="BD11" s="64"/>
      <c r="BE11" s="64"/>
      <c r="BF11" s="64"/>
      <c r="BG11" s="64"/>
      <c r="BH11" s="64"/>
      <c r="BI11" s="64"/>
      <c r="BJ11" s="64"/>
      <c r="BK11" s="64"/>
      <c r="BL11" s="64"/>
      <c r="BM11" s="64"/>
      <c r="BN11" s="64"/>
      <c r="BO11" s="64"/>
      <c r="BP11" s="64"/>
      <c r="BQ11" s="64"/>
      <c r="BR11" s="64"/>
      <c r="BS11" s="64"/>
      <c r="BT11" s="64"/>
      <c r="BU11" s="64"/>
    </row>
    <row r="12" spans="1:76" s="13" customFormat="1" ht="26.5" x14ac:dyDescent="0.35">
      <c r="A12" s="1"/>
      <c r="B12" s="102" t="s">
        <v>84</v>
      </c>
      <c r="C12" s="102" t="s">
        <v>85</v>
      </c>
      <c r="D12" s="102" t="s">
        <v>86</v>
      </c>
      <c r="E12" s="102" t="s">
        <v>87</v>
      </c>
      <c r="F12" s="1"/>
      <c r="G12" s="169" t="s">
        <v>88</v>
      </c>
      <c r="H12" s="169" t="s">
        <v>89</v>
      </c>
      <c r="I12" s="115" t="s">
        <v>90</v>
      </c>
      <c r="J12" s="66"/>
      <c r="K12" s="66"/>
      <c r="L12" s="64"/>
      <c r="M12" s="64"/>
      <c r="N12" s="64"/>
      <c r="O12" s="64"/>
      <c r="P12" s="64"/>
      <c r="Q12" s="64"/>
      <c r="R12" s="64"/>
      <c r="S12" s="64"/>
      <c r="T12" s="64"/>
      <c r="U12" s="64"/>
      <c r="V12" s="64"/>
      <c r="W12" s="64"/>
      <c r="X12" s="64"/>
      <c r="Y12" s="64"/>
      <c r="Z12" s="64"/>
      <c r="AA12" s="64"/>
      <c r="AB12" s="64"/>
      <c r="AC12" s="64"/>
      <c r="AD12" s="64"/>
      <c r="AE12" s="64"/>
      <c r="AF12" s="64"/>
      <c r="AG12" s="64"/>
      <c r="AH12" s="64"/>
      <c r="AI12" s="64"/>
      <c r="AJ12" s="64"/>
      <c r="AK12" s="64"/>
      <c r="AL12" s="64"/>
      <c r="AM12" s="64"/>
      <c r="AN12" s="64"/>
      <c r="AO12" s="64"/>
      <c r="AP12" s="64"/>
      <c r="AQ12" s="64"/>
      <c r="AR12" s="64"/>
      <c r="AS12" s="64"/>
      <c r="AT12" s="64"/>
      <c r="AU12" s="64"/>
      <c r="AV12" s="64"/>
      <c r="AW12" s="64"/>
      <c r="AX12" s="64"/>
      <c r="AY12" s="64"/>
      <c r="AZ12" s="64"/>
      <c r="BA12" s="64"/>
      <c r="BB12" s="64"/>
      <c r="BC12" s="64"/>
      <c r="BD12" s="64"/>
      <c r="BE12" s="64"/>
      <c r="BF12" s="64"/>
      <c r="BG12" s="64"/>
      <c r="BH12" s="64"/>
      <c r="BI12" s="64"/>
      <c r="BJ12" s="64"/>
      <c r="BK12" s="64"/>
      <c r="BL12" s="64"/>
      <c r="BM12" s="64"/>
      <c r="BN12" s="64"/>
      <c r="BO12" s="64"/>
      <c r="BP12" s="64"/>
      <c r="BQ12" s="64"/>
      <c r="BR12" s="64"/>
      <c r="BS12" s="64"/>
      <c r="BT12" s="64"/>
      <c r="BU12" s="64"/>
    </row>
    <row r="13" spans="1:76" x14ac:dyDescent="0.35">
      <c r="B13" s="105" t="s">
        <v>91</v>
      </c>
      <c r="C13" s="509"/>
      <c r="D13" s="510"/>
      <c r="E13" s="106"/>
      <c r="G13" s="133"/>
      <c r="H13" s="134">
        <f>C13</f>
        <v>0</v>
      </c>
      <c r="I13" s="165"/>
      <c r="J13" s="66"/>
      <c r="K13" s="66"/>
      <c r="M13" s="64"/>
      <c r="BV13" s="1"/>
      <c r="BW13" s="1"/>
      <c r="BX13" s="1"/>
    </row>
    <row r="14" spans="1:76" x14ac:dyDescent="0.35">
      <c r="B14" s="105" t="s">
        <v>169</v>
      </c>
      <c r="C14" s="527"/>
      <c r="D14" s="510"/>
      <c r="E14" s="106"/>
      <c r="G14" s="133"/>
      <c r="H14" s="158">
        <f>C14</f>
        <v>0</v>
      </c>
      <c r="I14" s="165"/>
      <c r="J14" s="66"/>
      <c r="K14" s="66"/>
      <c r="M14" s="64"/>
      <c r="BV14" s="1"/>
      <c r="BW14" s="1"/>
      <c r="BX14" s="1"/>
    </row>
    <row r="15" spans="1:76" x14ac:dyDescent="0.35">
      <c r="B15" s="105" t="s">
        <v>170</v>
      </c>
      <c r="C15" s="528"/>
      <c r="D15" s="524" t="s">
        <v>94</v>
      </c>
      <c r="E15" s="417">
        <f t="shared" ref="E15:E16" si="0">IF(D15="Yes",G15," ")</f>
        <v>4.4999999999999998E-2</v>
      </c>
      <c r="G15" s="136">
        <f>Assumptions!$D$43</f>
        <v>4.4999999999999998E-2</v>
      </c>
      <c r="H15" s="136">
        <f>IF(D15="Yes",E15,C15)</f>
        <v>4.4999999999999998E-2</v>
      </c>
      <c r="I15" s="166">
        <f t="shared" ref="I15:I16" si="1">IF(AND(D15="No",ISBLANK(C15)),1,IF(D15="Yes",IF(E15=0,1,0),0))</f>
        <v>0</v>
      </c>
      <c r="J15" s="66"/>
      <c r="K15" s="66"/>
      <c r="M15" s="64"/>
      <c r="BV15" s="1"/>
      <c r="BW15" s="1"/>
      <c r="BX15" s="1"/>
    </row>
    <row r="16" spans="1:76" x14ac:dyDescent="0.35">
      <c r="B16" s="418" t="s">
        <v>171</v>
      </c>
      <c r="C16" s="529"/>
      <c r="D16" s="524" t="s">
        <v>94</v>
      </c>
      <c r="E16" s="329">
        <f t="shared" si="0"/>
        <v>0.59</v>
      </c>
      <c r="G16" s="140">
        <f>Assumptions!$D$53</f>
        <v>0.59</v>
      </c>
      <c r="H16" s="140">
        <f>IF(D16="Yes",E16,C16)</f>
        <v>0.59</v>
      </c>
      <c r="I16" s="166">
        <f t="shared" si="1"/>
        <v>0</v>
      </c>
      <c r="J16" s="66"/>
      <c r="K16" s="66"/>
      <c r="M16" s="64"/>
      <c r="BV16" s="1"/>
      <c r="BW16" s="1"/>
      <c r="BX16" s="1"/>
    </row>
    <row r="17" spans="2:76" x14ac:dyDescent="0.35">
      <c r="B17" s="100"/>
      <c r="C17" s="101"/>
      <c r="D17" s="101"/>
      <c r="E17" s="101"/>
      <c r="G17" s="133"/>
      <c r="H17" s="133"/>
      <c r="I17" s="165"/>
      <c r="M17" s="64"/>
      <c r="BV17" s="1"/>
      <c r="BW17" s="1"/>
      <c r="BX17" s="1"/>
    </row>
    <row r="18" spans="2:76" s="64" customFormat="1" x14ac:dyDescent="0.35">
      <c r="B18" s="103"/>
      <c r="C18" s="104"/>
      <c r="D18" s="104"/>
      <c r="E18" s="104"/>
      <c r="G18" s="133"/>
      <c r="H18" s="133"/>
      <c r="I18" s="165"/>
    </row>
    <row r="19" spans="2:76" ht="15.5" x14ac:dyDescent="0.35">
      <c r="B19" s="61" t="s">
        <v>96</v>
      </c>
      <c r="G19" s="133"/>
      <c r="H19" s="133"/>
      <c r="I19" s="165"/>
      <c r="M19" s="64"/>
      <c r="BV19" s="1"/>
      <c r="BW19" s="1"/>
      <c r="BX19" s="1"/>
    </row>
    <row r="20" spans="2:76" x14ac:dyDescent="0.35">
      <c r="G20" s="133"/>
      <c r="H20" s="133"/>
      <c r="I20" s="165"/>
      <c r="M20" s="64"/>
      <c r="BV20" s="1"/>
      <c r="BW20" s="1"/>
      <c r="BX20" s="1"/>
    </row>
    <row r="21" spans="2:76" x14ac:dyDescent="0.35">
      <c r="B21" s="102" t="s">
        <v>84</v>
      </c>
      <c r="C21" s="102" t="s">
        <v>85</v>
      </c>
      <c r="G21" s="133"/>
      <c r="H21" s="133"/>
      <c r="I21" s="165"/>
      <c r="M21" s="64"/>
      <c r="BV21" s="1"/>
      <c r="BW21" s="1"/>
      <c r="BX21" s="1"/>
    </row>
    <row r="22" spans="2:76" x14ac:dyDescent="0.35">
      <c r="B22" s="105" t="s">
        <v>157</v>
      </c>
      <c r="C22" s="304">
        <f>Assumptions!$D$44</f>
        <v>0.51514683371343495</v>
      </c>
      <c r="G22" s="133"/>
      <c r="H22" s="137">
        <f>C22</f>
        <v>0.51514683371343495</v>
      </c>
      <c r="I22" s="165"/>
      <c r="M22" s="64"/>
      <c r="BV22" s="1"/>
      <c r="BW22" s="1"/>
      <c r="BX22" s="1"/>
    </row>
    <row r="23" spans="2:76" x14ac:dyDescent="0.35">
      <c r="B23" s="105" t="s">
        <v>158</v>
      </c>
      <c r="C23" s="300">
        <f>Assumptions!$D$55</f>
        <v>2</v>
      </c>
      <c r="G23" s="64"/>
      <c r="H23" s="158">
        <f>C23</f>
        <v>2</v>
      </c>
      <c r="I23" s="166"/>
      <c r="M23" s="64"/>
      <c r="BV23" s="1"/>
      <c r="BW23" s="1"/>
      <c r="BX23" s="1"/>
    </row>
    <row r="24" spans="2:76" x14ac:dyDescent="0.35">
      <c r="B24" s="105" t="s">
        <v>159</v>
      </c>
      <c r="C24" s="300">
        <f>Assumptions!$D$56</f>
        <v>3.03</v>
      </c>
      <c r="G24" s="64"/>
      <c r="H24" s="158">
        <f>C24</f>
        <v>3.03</v>
      </c>
      <c r="I24" s="166"/>
      <c r="M24" s="64"/>
      <c r="BV24" s="1"/>
      <c r="BW24" s="1"/>
      <c r="BX24" s="1"/>
    </row>
    <row r="25" spans="2:76" ht="15" customHeight="1" x14ac:dyDescent="0.35">
      <c r="B25" s="105" t="s">
        <v>172</v>
      </c>
      <c r="C25" s="304">
        <f>Assumptions!$D$46</f>
        <v>0.106</v>
      </c>
      <c r="G25" s="133"/>
      <c r="H25" s="137">
        <f t="shared" ref="H25:H32" si="2">C25</f>
        <v>0.106</v>
      </c>
      <c r="I25" s="165"/>
      <c r="M25" s="64"/>
      <c r="BV25" s="1"/>
      <c r="BW25" s="1"/>
      <c r="BX25" s="1"/>
    </row>
    <row r="26" spans="2:76" ht="15" customHeight="1" x14ac:dyDescent="0.35">
      <c r="B26" s="105" t="s">
        <v>173</v>
      </c>
      <c r="C26" s="304">
        <f>Assumptions!D48</f>
        <v>0.152</v>
      </c>
      <c r="G26" s="133"/>
      <c r="H26" s="137">
        <f t="shared" si="2"/>
        <v>0.152</v>
      </c>
      <c r="I26" s="165"/>
      <c r="M26" s="64"/>
      <c r="BV26" s="1"/>
      <c r="BW26" s="1"/>
      <c r="BX26" s="1"/>
    </row>
    <row r="27" spans="2:76" ht="30" customHeight="1" x14ac:dyDescent="0.35">
      <c r="B27" s="105" t="s">
        <v>174</v>
      </c>
      <c r="C27" s="304">
        <f>Assumptions!$D$52</f>
        <v>4.6540043298623303E-2</v>
      </c>
      <c r="G27" s="133"/>
      <c r="H27" s="137">
        <f>C27</f>
        <v>4.6540043298623303E-2</v>
      </c>
      <c r="I27" s="165"/>
      <c r="M27" s="64"/>
      <c r="BV27" s="1"/>
      <c r="BW27" s="1"/>
      <c r="BX27" s="1"/>
    </row>
    <row r="28" spans="2:76" ht="14.5" customHeight="1" x14ac:dyDescent="0.35">
      <c r="B28" s="105" t="s">
        <v>163</v>
      </c>
      <c r="C28" s="507">
        <f>Assumptions!D57</f>
        <v>1.04</v>
      </c>
      <c r="G28" s="133"/>
      <c r="H28" s="139">
        <f>C28</f>
        <v>1.04</v>
      </c>
      <c r="I28" s="165"/>
      <c r="M28" s="64"/>
      <c r="BV28" s="1"/>
      <c r="BW28" s="1"/>
      <c r="BX28" s="1"/>
    </row>
    <row r="29" spans="2:76" ht="14.5" customHeight="1" x14ac:dyDescent="0.35">
      <c r="B29" s="105" t="s">
        <v>164</v>
      </c>
      <c r="C29" s="507">
        <f>Assumptions!$D$113</f>
        <v>1.32</v>
      </c>
      <c r="G29" s="133"/>
      <c r="H29" s="139">
        <f>C29</f>
        <v>1.32</v>
      </c>
      <c r="I29" s="165"/>
      <c r="M29" s="64"/>
      <c r="BV29" s="1"/>
      <c r="BW29" s="1"/>
      <c r="BX29" s="1"/>
    </row>
    <row r="30" spans="2:76" x14ac:dyDescent="0.35">
      <c r="B30" s="105" t="s">
        <v>175</v>
      </c>
      <c r="C30" s="330">
        <f>IF(SUM(I$15:I$15)&gt;0,"(Error]",(H$15/G$15*H$14*H$22*H$25*H$27*H23))</f>
        <v>0</v>
      </c>
      <c r="G30" s="133"/>
      <c r="H30" s="158">
        <f t="shared" si="2"/>
        <v>0</v>
      </c>
      <c r="I30" s="165"/>
      <c r="M30" s="64"/>
      <c r="BV30" s="1"/>
      <c r="BW30" s="1"/>
      <c r="BX30" s="1"/>
    </row>
    <row r="31" spans="2:76" x14ac:dyDescent="0.35">
      <c r="B31" s="105" t="s">
        <v>176</v>
      </c>
      <c r="C31" s="330">
        <f>IF(SUM(I$15:I$15)&gt;0,"(Error]",(H$15/G$15*H$14*H$22*H$26*H$27*H24))</f>
        <v>0</v>
      </c>
      <c r="G31" s="133"/>
      <c r="H31" s="158">
        <f t="shared" si="2"/>
        <v>0</v>
      </c>
      <c r="I31" s="165"/>
      <c r="M31" s="64"/>
      <c r="BV31" s="1"/>
      <c r="BW31" s="1"/>
      <c r="BX31" s="1"/>
    </row>
    <row r="32" spans="2:76" x14ac:dyDescent="0.35">
      <c r="B32" s="105" t="s">
        <v>177</v>
      </c>
      <c r="C32" s="330">
        <f>H30/H28+H31/H29</f>
        <v>0</v>
      </c>
      <c r="G32" s="133"/>
      <c r="H32" s="158">
        <f t="shared" si="2"/>
        <v>0</v>
      </c>
      <c r="I32" s="165"/>
      <c r="M32" s="64"/>
      <c r="BV32" s="1"/>
      <c r="BW32" s="1"/>
      <c r="BX32" s="1"/>
    </row>
    <row r="33" spans="1:77" x14ac:dyDescent="0.35">
      <c r="B33" s="44"/>
      <c r="C33" s="62"/>
      <c r="G33" s="133"/>
      <c r="H33" s="133"/>
      <c r="I33" s="165"/>
      <c r="M33" s="64"/>
      <c r="BV33" s="1"/>
      <c r="BW33" s="1"/>
      <c r="BX33" s="1"/>
    </row>
    <row r="34" spans="1:77" x14ac:dyDescent="0.35">
      <c r="A34" s="64"/>
      <c r="B34" s="64"/>
      <c r="C34" s="64"/>
      <c r="D34" s="64"/>
      <c r="E34" s="64"/>
      <c r="F34" s="64"/>
      <c r="G34" s="133"/>
      <c r="H34" s="133"/>
      <c r="I34" s="165"/>
      <c r="M34" s="64"/>
      <c r="BV34" s="1"/>
      <c r="BW34" s="1"/>
      <c r="BX34" s="1"/>
    </row>
    <row r="35" spans="1:77" s="64" customFormat="1" ht="15.5" x14ac:dyDescent="0.35">
      <c r="A35" s="1"/>
      <c r="B35" s="61" t="s">
        <v>99</v>
      </c>
      <c r="C35" s="1"/>
      <c r="D35" s="1"/>
      <c r="E35" s="1"/>
      <c r="F35" s="1"/>
      <c r="G35" s="133"/>
      <c r="H35" s="133"/>
      <c r="I35" s="165"/>
    </row>
    <row r="36" spans="1:77" s="12" customFormat="1" x14ac:dyDescent="0.35">
      <c r="A36" s="1"/>
      <c r="B36" s="1"/>
      <c r="C36" s="1"/>
      <c r="D36" s="1"/>
      <c r="E36" s="1"/>
      <c r="F36" s="1"/>
      <c r="G36" s="133"/>
      <c r="H36" s="133"/>
      <c r="I36" s="165"/>
      <c r="J36" s="64"/>
      <c r="K36" s="64"/>
      <c r="L36" s="64"/>
      <c r="M36" s="64"/>
      <c r="N36" s="65"/>
      <c r="O36" s="64"/>
      <c r="P36" s="64"/>
      <c r="Q36" s="64"/>
      <c r="R36" s="64"/>
      <c r="S36" s="64"/>
      <c r="T36" s="64"/>
      <c r="U36" s="64"/>
      <c r="V36" s="64"/>
      <c r="W36" s="64"/>
      <c r="X36" s="64"/>
      <c r="Y36" s="64"/>
      <c r="Z36" s="64"/>
      <c r="AA36" s="64"/>
      <c r="AB36" s="64"/>
      <c r="AC36" s="64"/>
      <c r="AD36" s="64"/>
      <c r="AE36" s="64"/>
      <c r="AF36" s="64"/>
      <c r="AG36" s="64"/>
      <c r="AH36" s="64"/>
      <c r="AI36" s="64"/>
      <c r="AJ36" s="64"/>
      <c r="AK36" s="64"/>
      <c r="AL36" s="64"/>
      <c r="AM36" s="64"/>
      <c r="AN36" s="64"/>
      <c r="AO36" s="64"/>
      <c r="AP36" s="64"/>
      <c r="AQ36" s="64"/>
      <c r="AR36" s="64"/>
      <c r="AS36" s="64"/>
      <c r="AT36" s="64"/>
      <c r="AU36" s="64"/>
      <c r="AV36" s="64"/>
      <c r="AW36" s="64"/>
      <c r="AX36" s="64"/>
      <c r="AY36" s="64"/>
      <c r="AZ36" s="64"/>
      <c r="BA36" s="64"/>
      <c r="BB36" s="64"/>
      <c r="BC36" s="64"/>
      <c r="BD36" s="64"/>
      <c r="BE36" s="64"/>
      <c r="BF36" s="64"/>
      <c r="BG36" s="64"/>
      <c r="BH36" s="64"/>
      <c r="BI36" s="64"/>
      <c r="BJ36" s="64"/>
      <c r="BK36" s="64"/>
      <c r="BL36" s="64"/>
      <c r="BM36" s="64"/>
      <c r="BN36" s="64"/>
      <c r="BO36" s="64"/>
      <c r="BP36" s="64"/>
      <c r="BQ36" s="64"/>
      <c r="BR36" s="64"/>
      <c r="BS36" s="64"/>
      <c r="BT36" s="64"/>
      <c r="BU36" s="64"/>
    </row>
    <row r="37" spans="1:77" s="12" customFormat="1" ht="26.5" x14ac:dyDescent="0.35">
      <c r="A37" s="1"/>
      <c r="B37" s="102" t="s">
        <v>84</v>
      </c>
      <c r="C37" s="102" t="s">
        <v>85</v>
      </c>
      <c r="D37" s="1"/>
      <c r="E37" s="1"/>
      <c r="F37" s="1"/>
      <c r="G37" s="133"/>
      <c r="H37" s="133"/>
      <c r="I37" s="165"/>
      <c r="J37" s="64"/>
      <c r="K37" s="56" t="s">
        <v>100</v>
      </c>
      <c r="L37" s="57" t="s">
        <v>101</v>
      </c>
      <c r="M37" s="57" t="s">
        <v>102</v>
      </c>
      <c r="N37" s="57" t="s">
        <v>103</v>
      </c>
      <c r="O37" s="58">
        <v>2018</v>
      </c>
      <c r="P37" s="59">
        <v>2030</v>
      </c>
      <c r="Q37" s="59">
        <v>2040</v>
      </c>
      <c r="R37" s="64"/>
      <c r="S37" s="64"/>
      <c r="T37" s="64"/>
      <c r="U37" s="64"/>
      <c r="V37" s="64"/>
      <c r="W37" s="64"/>
      <c r="X37" s="64"/>
      <c r="Y37" s="64"/>
      <c r="Z37" s="64"/>
      <c r="AA37" s="64"/>
      <c r="AB37" s="64"/>
      <c r="AC37" s="64"/>
      <c r="AD37" s="64"/>
      <c r="AE37" s="64"/>
      <c r="AF37" s="64"/>
      <c r="AG37" s="64"/>
      <c r="AH37" s="64"/>
      <c r="AI37" s="64"/>
      <c r="AJ37" s="64"/>
      <c r="AK37" s="64"/>
      <c r="AL37" s="64"/>
      <c r="AM37" s="64"/>
      <c r="AN37" s="64"/>
      <c r="AO37" s="64"/>
      <c r="AP37" s="64"/>
      <c r="AQ37" s="64"/>
      <c r="AR37" s="64"/>
      <c r="AS37" s="64"/>
      <c r="AT37" s="64"/>
      <c r="AU37" s="64"/>
      <c r="AV37" s="64"/>
      <c r="AW37" s="64"/>
      <c r="AX37" s="64"/>
      <c r="AY37" s="64"/>
      <c r="AZ37" s="64"/>
      <c r="BA37" s="64"/>
      <c r="BB37" s="64"/>
      <c r="BC37" s="64"/>
      <c r="BD37" s="64"/>
      <c r="BE37" s="64"/>
      <c r="BF37" s="64"/>
      <c r="BG37" s="64"/>
      <c r="BH37" s="64"/>
      <c r="BI37" s="64"/>
      <c r="BJ37" s="64"/>
      <c r="BK37" s="64"/>
      <c r="BL37" s="64"/>
      <c r="BM37" s="64"/>
      <c r="BN37" s="64"/>
      <c r="BO37" s="64"/>
      <c r="BP37" s="64"/>
      <c r="BQ37" s="64"/>
      <c r="BR37" s="64"/>
      <c r="BS37" s="64"/>
      <c r="BT37" s="64"/>
      <c r="BU37" s="64"/>
    </row>
    <row r="38" spans="1:77" s="12" customFormat="1" x14ac:dyDescent="0.35">
      <c r="A38" s="1"/>
      <c r="B38" s="105" t="s">
        <v>104</v>
      </c>
      <c r="C38" s="108">
        <f>IF($H$13&lt;2030,FORECAST($H$13,O38:P38,$O$37:$P$37),FORECAST($H$13,P38:Q38,$P$37:$Q$37))</f>
        <v>14163.40716666667</v>
      </c>
      <c r="D38" s="1"/>
      <c r="E38" s="1"/>
      <c r="F38" s="1"/>
      <c r="G38" s="133"/>
      <c r="H38" s="139">
        <f>C38</f>
        <v>14163.40716666667</v>
      </c>
      <c r="I38" s="165"/>
      <c r="J38" s="64"/>
      <c r="K38" s="53" t="s">
        <v>105</v>
      </c>
      <c r="L38" s="54" t="s">
        <v>106</v>
      </c>
      <c r="M38" s="98">
        <v>35</v>
      </c>
      <c r="N38" s="54" t="s">
        <v>107</v>
      </c>
      <c r="O38" s="55">
        <f>IF(L38="CO2eq",VLOOKUP(M38,'Emission Factors'!$G$3:$J$18,MATCH(K38,'Emission Factors'!$G$2:$J$2,0),0),IF(L38="CO",VLOOKUP($M38,'Emission Factors'!$G$19:$J$34,MATCH(K38,'Emission Factors'!$G$2:$J$2,0),0),IF(L38="PM2.5",VLOOKUP(M38,'Emission Factors'!$G$35:$J$50,MATCH(K38,'Emission Factors'!$G$2:$J$2,0),0),IF(L38="NOx",VLOOKUP(M38,'Emission Factors'!$G$51:$J$66,MATCH(K38,'Emission Factors'!$G$2:$J$2,0),0),VLOOKUP(M38,'Emission Factors'!$G$67:$J$82,MATCH(K38,'Emission Factors'!$G$2:$J$2,0),0)))))</f>
        <v>345.99299999999999</v>
      </c>
      <c r="P38" s="155">
        <f>IF($L38="CO2eq",VLOOKUP($M38,'Emission Factors'!$G$88:$J$103,MATCH($K38,'Emission Factors'!$G$87:$J$87,0),0),IF(L38="CO",VLOOKUP($M38,'Emission Factors'!$G$104:$J$119,MATCH(K38,'Emission Factors'!$G$2:$J$2,0),0),IF(L38="PM2.5",VLOOKUP(M38,'Emission Factors'!$G$120:$J$135,MATCH(K38,'Emission Factors'!$G$2:$J$2,0),0),IF(L38="NOx",VLOOKUP(M38,'Emission Factors'!$G$136:$J$151,MATCH(K38,'Emission Factors'!$G$2:$J$2,0),0),VLOOKUP(M38,'Emission Factors'!$G$152:$J$167,MATCH(K38,'Emission Factors'!$G$2:$J$2,0),0)))))</f>
        <v>263.82799999999997</v>
      </c>
      <c r="Q38" s="479">
        <f>IF($L38="CO2eq",VLOOKUP($M38, 'Emission Factors'!G179:J194,MATCH($K38,'Emission Factors'!$G$2:$J$2,0),0),IF(L38="CO",VLOOKUP($M38, 'Emission Factors'!$G$189:$J$204,MATCH(K38,'Emission Factors'!$G$2:$J$2,0),0),IF(L38="PM2.5",VLOOKUP(M38, 'Emission Factors'!$G$205:$J$220,MATCH(K38,'Emission Factors'!$G$2:$J$2,0),0),IF(L38="NOx",VLOOKUP(M38, 'Emission Factors'!$G$221:$J$236,MATCH(K38,'Emission Factors'!$G$2:$J$2,0),0),VLOOKUP(M38, 'Emission Factors'!$G$237:$J$252,MATCH(K38,'Emission Factors'!$G$2:$J$2,0),0)))))</f>
        <v>238.08</v>
      </c>
      <c r="R38" s="64"/>
      <c r="S38" s="64"/>
      <c r="T38" s="64"/>
      <c r="U38" s="64"/>
      <c r="V38" s="64"/>
      <c r="W38" s="64"/>
      <c r="X38" s="64"/>
      <c r="Y38" s="64"/>
      <c r="Z38" s="64"/>
      <c r="AA38" s="64"/>
      <c r="AB38" s="64"/>
      <c r="AC38" s="64"/>
      <c r="AD38" s="64"/>
      <c r="AE38" s="64"/>
      <c r="AF38" s="64"/>
      <c r="AG38" s="64"/>
      <c r="AH38" s="64"/>
      <c r="AI38" s="64"/>
      <c r="AJ38" s="64"/>
      <c r="AK38" s="64"/>
      <c r="AL38" s="64"/>
      <c r="AM38" s="64"/>
      <c r="AN38" s="64"/>
      <c r="AO38" s="64"/>
      <c r="AP38" s="64"/>
      <c r="AQ38" s="64"/>
      <c r="AR38" s="64"/>
      <c r="AS38" s="64"/>
      <c r="AT38" s="64"/>
      <c r="AU38" s="64"/>
      <c r="AV38" s="64"/>
      <c r="AW38" s="64"/>
      <c r="AX38" s="64"/>
      <c r="AY38" s="64"/>
      <c r="AZ38" s="64"/>
      <c r="BA38" s="64"/>
      <c r="BB38" s="64"/>
      <c r="BC38" s="64"/>
      <c r="BD38" s="64"/>
      <c r="BE38" s="64"/>
      <c r="BF38" s="64"/>
      <c r="BG38" s="64"/>
      <c r="BH38" s="64"/>
      <c r="BI38" s="64"/>
      <c r="BJ38" s="64"/>
      <c r="BK38" s="64"/>
      <c r="BL38" s="64"/>
      <c r="BM38" s="64"/>
      <c r="BN38" s="64"/>
      <c r="BO38" s="64"/>
      <c r="BP38" s="64"/>
      <c r="BQ38" s="64"/>
      <c r="BR38" s="64"/>
      <c r="BS38" s="64"/>
      <c r="BT38" s="64"/>
      <c r="BU38" s="64"/>
    </row>
    <row r="39" spans="1:77" s="12" customFormat="1" x14ac:dyDescent="0.35">
      <c r="A39" s="1"/>
      <c r="B39" s="105" t="s">
        <v>108</v>
      </c>
      <c r="C39" s="108">
        <f>IF($H$13&lt;2030,FORECAST($H$13,O39:P39,$O$37:$P$37),FORECAST($H$13,P39:Q39,$P$37:$Q$37))</f>
        <v>248.39519333333331</v>
      </c>
      <c r="D39" s="1"/>
      <c r="E39" s="1"/>
      <c r="F39" s="1"/>
      <c r="G39" s="133"/>
      <c r="H39" s="139">
        <f t="shared" ref="H39:H42" si="3">C39</f>
        <v>248.39519333333331</v>
      </c>
      <c r="I39" s="165"/>
      <c r="J39" s="64"/>
      <c r="K39" s="48" t="s">
        <v>105</v>
      </c>
      <c r="L39" s="45" t="s">
        <v>109</v>
      </c>
      <c r="M39" s="99">
        <v>35</v>
      </c>
      <c r="N39" s="45" t="s">
        <v>107</v>
      </c>
      <c r="O39" s="46">
        <f>IF(L39="CO2eq",VLOOKUP(M39,'Emission Factors'!$G$3:$J$18,MATCH(K39,'Emission Factors'!$G$2:$J$2,0),0),IF(L39="CO",VLOOKUP($M39,'Emission Factors'!$G$19:$J$34,MATCH(K39,'Emission Factors'!$G$2:$J$2,0),0),IF(L39="PM2.5",VLOOKUP(M39,'Emission Factors'!$G$35:$J$50,MATCH(K39,'Emission Factors'!$G$2:$J$2,0),0),IF(L39="NOx",VLOOKUP(M39,'Emission Factors'!$G$51:$J$66,MATCH(K39,'Emission Factors'!$G$2:$J$2,0),0),VLOOKUP(M39,'Emission Factors'!$G$67:$J$82,MATCH(K39,'Emission Factors'!$G$2:$J$2,0),0)))))</f>
        <v>2.8012299999999999</v>
      </c>
      <c r="P39" s="156">
        <f>IF($L39="CO2eq",VLOOKUP($M39,'Emission Factors'!$G$88:$J$103,MATCH($K39,'Emission Factors'!$G$87:$J$87,0),0),IF(L39="CO",VLOOKUP($M39,'Emission Factors'!$G$104:$J$119,MATCH(K39,'Emission Factors'!$G$2:$J$2,0),0),IF(L39="PM2.5",VLOOKUP(M39,'Emission Factors'!$G$120:$J$135,MATCH(K39,'Emission Factors'!$G$2:$J$2,0),0),IF(L39="NOx",VLOOKUP(M39,'Emission Factors'!$G$136:$J$151,MATCH(K39,'Emission Factors'!$G$2:$J$2,0),0),VLOOKUP(M39,'Emission Factors'!$G$152:$J$167,MATCH(K39,'Emission Factors'!$G$2:$J$2,0),0)))))</f>
        <v>1.3408100000000001</v>
      </c>
      <c r="Q39" s="480">
        <f>IF($L39="CO2eq",VLOOKUP($M39, 'Emission Factors'!G180:J195,MATCH($K39,'Emission Factors'!$G$2:$J$2,0),0),IF(L39="CO",VLOOKUP($M39, 'Emission Factors'!$G$189:$J$204,MATCH(K39,'Emission Factors'!$G$2:$J$2,0),0),IF(L39="PM2.5",VLOOKUP(M39, 'Emission Factors'!$G$205:$J$220,MATCH(K39,'Emission Factors'!$G$2:$J$2,0),0),IF(L39="NOx",VLOOKUP(M39, 'Emission Factors'!$G$221:$J$236,MATCH(K39,'Emission Factors'!$G$2:$J$2,0),0),VLOOKUP(M39, 'Emission Factors'!$G$237:$J$252,MATCH(K39,'Emission Factors'!$G$2:$J$2,0),0)))))</f>
        <v>0.96630300000000002</v>
      </c>
      <c r="R39" s="64"/>
      <c r="S39" s="64"/>
      <c r="T39" s="64"/>
      <c r="U39" s="64"/>
      <c r="V39" s="64"/>
      <c r="W39" s="64"/>
      <c r="X39" s="64"/>
      <c r="Y39" s="64"/>
      <c r="Z39" s="64"/>
      <c r="AA39" s="64"/>
      <c r="AB39" s="64"/>
      <c r="AC39" s="64"/>
      <c r="AD39" s="64"/>
      <c r="AE39" s="64"/>
      <c r="AF39" s="64"/>
      <c r="AG39" s="64"/>
      <c r="AH39" s="64"/>
      <c r="AI39" s="64"/>
      <c r="AJ39" s="64"/>
      <c r="AK39" s="64"/>
      <c r="AL39" s="64"/>
      <c r="AM39" s="64"/>
      <c r="AN39" s="64"/>
      <c r="AO39" s="64"/>
      <c r="AP39" s="64"/>
      <c r="AQ39" s="64"/>
      <c r="AR39" s="64"/>
      <c r="AS39" s="64"/>
      <c r="AT39" s="64"/>
      <c r="AU39" s="64"/>
      <c r="AV39" s="64"/>
      <c r="AW39" s="64"/>
      <c r="AX39" s="64"/>
      <c r="AY39" s="64"/>
      <c r="AZ39" s="64"/>
      <c r="BA39" s="64"/>
      <c r="BB39" s="64"/>
      <c r="BC39" s="64"/>
      <c r="BD39" s="64"/>
      <c r="BE39" s="64"/>
      <c r="BF39" s="64"/>
      <c r="BG39" s="64"/>
      <c r="BH39" s="64"/>
      <c r="BI39" s="64"/>
      <c r="BJ39" s="64"/>
      <c r="BK39" s="64"/>
      <c r="BL39" s="64"/>
      <c r="BM39" s="64"/>
      <c r="BN39" s="64"/>
      <c r="BO39" s="64"/>
      <c r="BP39" s="64"/>
      <c r="BQ39" s="64"/>
      <c r="BR39" s="64"/>
      <c r="BS39" s="64"/>
      <c r="BT39" s="64"/>
      <c r="BU39" s="64"/>
    </row>
    <row r="40" spans="1:77" s="12" customFormat="1" x14ac:dyDescent="0.35">
      <c r="A40" s="1"/>
      <c r="B40" s="105" t="s">
        <v>110</v>
      </c>
      <c r="C40" s="108">
        <f>IF($H$13&lt;2030,FORECAST($H$13,O40:P40,$O$37:$P$37),FORECAST($H$13,P40:Q40,$P$37:$Q$37))</f>
        <v>0.41422921833333326</v>
      </c>
      <c r="D40" s="1"/>
      <c r="E40" s="1"/>
      <c r="F40" s="1"/>
      <c r="G40" s="133"/>
      <c r="H40" s="139">
        <f t="shared" si="3"/>
        <v>0.41422921833333326</v>
      </c>
      <c r="I40" s="165"/>
      <c r="J40" s="64"/>
      <c r="K40" s="48" t="s">
        <v>105</v>
      </c>
      <c r="L40" s="45" t="s">
        <v>111</v>
      </c>
      <c r="M40" s="99">
        <v>35</v>
      </c>
      <c r="N40" s="45" t="s">
        <v>107</v>
      </c>
      <c r="O40" s="46">
        <f>IF(L40="CO2eq",VLOOKUP(M40,'Emission Factors'!$G$3:$J$18,MATCH(K40,'Emission Factors'!$G$2:$J$2,0),0),IF(L40="CO",VLOOKUP($M40,'Emission Factors'!$G$19:$J$34,MATCH(K40,'Emission Factors'!$G$2:$J$2,0),0),IF(L40="PM2.5",VLOOKUP(M40,'Emission Factors'!$G$35:$J$50,MATCH(K40,'Emission Factors'!$G$2:$J$2,0),0),IF(L40="NOx",VLOOKUP(M40,'Emission Factors'!$G$51:$J$66,MATCH(K40,'Emission Factors'!$G$2:$J$2,0),0),VLOOKUP(M40,'Emission Factors'!$G$67:$J$82,MATCH(K40,'Emission Factors'!$G$2:$J$2,0),0)))))</f>
        <v>3.88069E-3</v>
      </c>
      <c r="P40" s="156">
        <f>IF($L40="CO2eq",VLOOKUP($M40,'Emission Factors'!$G$88:$J$103,MATCH($K40,'Emission Factors'!$G$87:$J$87,0),0),IF(L40="CO",VLOOKUP($M40,'Emission Factors'!$G$104:$J$119,MATCH(K40,'Emission Factors'!$G$2:$J$2,0),0),IF(L40="PM2.5",VLOOKUP(M40,'Emission Factors'!$G$120:$J$135,MATCH(K40,'Emission Factors'!$G$2:$J$2,0),0),IF(L40="NOx",VLOOKUP(M40,'Emission Factors'!$G$136:$J$151,MATCH(K40,'Emission Factors'!$G$2:$J$2,0),0),VLOOKUP(M40,'Emission Factors'!$G$152:$J$167,MATCH(K40,'Emission Factors'!$G$2:$J$2,0),0)))))</f>
        <v>1.44056E-3</v>
      </c>
      <c r="Q40" s="480">
        <f>IF($L40="CO2eq",VLOOKUP($M40, 'Emission Factors'!G181:J196,MATCH($K40,'Emission Factors'!$G$2:$J$2,0),0),IF(L40="CO",VLOOKUP($M40, 'Emission Factors'!$G$189:$J$204,MATCH(K40,'Emission Factors'!$G$2:$J$2,0),0),IF(L40="PM2.5",VLOOKUP(M40, 'Emission Factors'!$G$205:$J$220,MATCH(K40,'Emission Factors'!$G$2:$J$2,0),0),IF(L40="NOx",VLOOKUP(M40, 'Emission Factors'!$G$221:$J$236,MATCH(K40,'Emission Factors'!$G$2:$J$2,0),0),VLOOKUP(M40, 'Emission Factors'!$G$237:$J$252,MATCH(K40,'Emission Factors'!$G$2:$J$2,0),0)))))</f>
        <v>1.0138199999999999E-3</v>
      </c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4"/>
      <c r="BM40" s="64"/>
      <c r="BN40" s="64"/>
      <c r="BO40" s="64"/>
      <c r="BP40" s="64"/>
      <c r="BQ40" s="64"/>
      <c r="BR40" s="64"/>
      <c r="BS40" s="64"/>
      <c r="BT40" s="64"/>
      <c r="BU40" s="64"/>
    </row>
    <row r="41" spans="1:77" s="12" customFormat="1" x14ac:dyDescent="0.35">
      <c r="A41" s="1"/>
      <c r="B41" s="105" t="s">
        <v>112</v>
      </c>
      <c r="C41" s="108">
        <f>IF($H$13&lt;2030,FORECAST($H$13,O41:P41,$O$37:$P$37),FORECAST($H$13,P41:Q41,$P$37:$Q$37))</f>
        <v>41.369416749999992</v>
      </c>
      <c r="D41" s="1"/>
      <c r="E41" s="1"/>
      <c r="F41" s="1"/>
      <c r="G41" s="133"/>
      <c r="H41" s="139">
        <f t="shared" si="3"/>
        <v>41.369416749999992</v>
      </c>
      <c r="I41" s="165"/>
      <c r="J41" s="64"/>
      <c r="K41" s="48" t="s">
        <v>105</v>
      </c>
      <c r="L41" s="45" t="s">
        <v>113</v>
      </c>
      <c r="M41" s="99">
        <v>35</v>
      </c>
      <c r="N41" s="45" t="s">
        <v>107</v>
      </c>
      <c r="O41" s="46">
        <f>IF(L41="CO2eq",VLOOKUP(M41,'Emission Factors'!$G$3:$J$18,MATCH(K41,'Emission Factors'!$G$2:$J$2,0),0),IF(L41="CO",VLOOKUP($M41,'Emission Factors'!$G$19:$J$34,MATCH(K41,'Emission Factors'!$G$2:$J$2,0),0),IF(L41="PM2.5",VLOOKUP(M41,'Emission Factors'!$G$35:$J$50,MATCH(K41,'Emission Factors'!$G$2:$J$2,0),0),IF(L41="NOx",VLOOKUP(M41,'Emission Factors'!$G$51:$J$66,MATCH(K41,'Emission Factors'!$G$2:$J$2,0),0),VLOOKUP(M41,'Emission Factors'!$G$67:$J$82,MATCH(K41,'Emission Factors'!$G$2:$J$2,0),0)))))</f>
        <v>0.31547700000000001</v>
      </c>
      <c r="P41" s="156">
        <f>IF($L41="CO2eq",VLOOKUP($M41,'Emission Factors'!$G$88:$J$103,MATCH($K41,'Emission Factors'!$G$87:$J$87,0),0),IF(L41="CO",VLOOKUP($M41,'Emission Factors'!$G$104:$J$119,MATCH(K41,'Emission Factors'!$G$2:$J$2,0),0),IF(L41="PM2.5",VLOOKUP(M41,'Emission Factors'!$G$120:$J$135,MATCH(K41,'Emission Factors'!$G$2:$J$2,0),0),IF(L41="NOx",VLOOKUP(M41,'Emission Factors'!$G$136:$J$151,MATCH(K41,'Emission Factors'!$G$2:$J$2,0),0),VLOOKUP(M41,'Emission Factors'!$G$152:$J$167,MATCH(K41,'Emission Factors'!$G$2:$J$2,0),0)))))</f>
        <v>7.1350499999999997E-2</v>
      </c>
      <c r="Q41" s="480">
        <f>IF($L41="CO2eq",VLOOKUP($M41, 'Emission Factors'!G182:J197,MATCH($K41,'Emission Factors'!$G$2:$J$2,0),0),IF(L41="CO",VLOOKUP($M41, 'Emission Factors'!$G$189:$J$204,MATCH(K41,'Emission Factors'!$G$2:$J$2,0),0),IF(L41="PM2.5",VLOOKUP(M41, 'Emission Factors'!$G$205:$J$220,MATCH(K41,'Emission Factors'!$G$2:$J$2,0),0),IF(L41="NOx",VLOOKUP(M41, 'Emission Factors'!$G$221:$J$236,MATCH(K41,'Emission Factors'!$G$2:$J$2,0),0),VLOOKUP(M41, 'Emission Factors'!$G$237:$J$252,MATCH(K41,'Emission Factors'!$G$2:$J$2,0),0)))))</f>
        <v>1.9481600000000002E-2</v>
      </c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4"/>
      <c r="AD41" s="64"/>
      <c r="AE41" s="64"/>
      <c r="AF41" s="64"/>
      <c r="AG41" s="64"/>
      <c r="AH41" s="64"/>
      <c r="AI41" s="64"/>
      <c r="AJ41" s="64"/>
      <c r="AK41" s="64"/>
      <c r="AL41" s="64"/>
      <c r="AM41" s="64"/>
      <c r="AN41" s="64"/>
      <c r="AO41" s="64"/>
      <c r="AP41" s="64"/>
      <c r="AQ41" s="64"/>
      <c r="AR41" s="64"/>
      <c r="AS41" s="64"/>
      <c r="AT41" s="64"/>
      <c r="AU41" s="64"/>
      <c r="AV41" s="64"/>
      <c r="AW41" s="64"/>
      <c r="AX41" s="64"/>
      <c r="AY41" s="64"/>
      <c r="AZ41" s="64"/>
      <c r="BA41" s="64"/>
      <c r="BB41" s="64"/>
      <c r="BC41" s="64"/>
      <c r="BD41" s="64"/>
      <c r="BE41" s="64"/>
      <c r="BF41" s="64"/>
      <c r="BG41" s="64"/>
      <c r="BH41" s="64"/>
      <c r="BI41" s="64"/>
      <c r="BJ41" s="64"/>
      <c r="BK41" s="64"/>
      <c r="BL41" s="64"/>
      <c r="BM41" s="64"/>
      <c r="BN41" s="64"/>
      <c r="BO41" s="64"/>
      <c r="BP41" s="64"/>
      <c r="BQ41" s="64"/>
      <c r="BR41" s="64"/>
      <c r="BS41" s="64"/>
      <c r="BT41" s="64"/>
      <c r="BU41" s="64"/>
    </row>
    <row r="42" spans="1:77" s="12" customFormat="1" x14ac:dyDescent="0.35">
      <c r="A42" s="1"/>
      <c r="B42" s="105" t="s">
        <v>114</v>
      </c>
      <c r="C42" s="108">
        <f>IF($H$13&lt;2030,FORECAST($H$13,O42:P42,$O$37:$P$37),FORECAST($H$13,P42:Q42,$P$37:$Q$37))</f>
        <v>8.1845177833333356</v>
      </c>
      <c r="D42" s="1"/>
      <c r="E42" s="1"/>
      <c r="F42" s="1"/>
      <c r="G42" s="133"/>
      <c r="H42" s="139">
        <f t="shared" si="3"/>
        <v>8.1845177833333356</v>
      </c>
      <c r="I42" s="165"/>
      <c r="J42" s="64"/>
      <c r="K42" s="49" t="s">
        <v>105</v>
      </c>
      <c r="L42" s="50" t="s">
        <v>115</v>
      </c>
      <c r="M42" s="51">
        <v>35</v>
      </c>
      <c r="N42" s="50" t="s">
        <v>107</v>
      </c>
      <c r="O42" s="52">
        <f>IF(L42="CO2eq",VLOOKUP(M42,'Emission Factors'!$G$3:$J$18,MATCH(K42,'Emission Factors'!$G$2:$J$2,0),0),IF(L42="CO",VLOOKUP($M42,'Emission Factors'!$G$19:$J$34,MATCH(K42,'Emission Factors'!$G$2:$J$2,0),0),IF(L42="PM2.5",VLOOKUP(M42,'Emission Factors'!$G$35:$J$50,MATCH(K42,'Emission Factors'!$G$2:$J$2,0),0),IF(L42="NOx",VLOOKUP(M42,'Emission Factors'!$G$51:$J$66,MATCH(K42,'Emission Factors'!$G$2:$J$2,0),0),VLOOKUP(M42,'Emission Factors'!$G$67:$J$82,MATCH(K42,'Emission Factors'!$G$2:$J$2,0),0)))))</f>
        <v>6.5010700000000005E-2</v>
      </c>
      <c r="P42" s="157">
        <f>IF($L42="CO2eq",VLOOKUP($M42,'Emission Factors'!$G$88:$J$103,MATCH($K42,'Emission Factors'!$G$87:$J$87,0),0),IF(L42="CO",VLOOKUP($M42,'Emission Factors'!$G$104:$J$119,MATCH(K42,'Emission Factors'!$G$2:$J$2,0),0),IF(L42="PM2.5",VLOOKUP(M42,'Emission Factors'!$G$120:$J$135,MATCH(K42,'Emission Factors'!$G$2:$J$2,0),0),IF(L42="NOx",VLOOKUP(M42,'Emission Factors'!$G$136:$J$151,MATCH(K42,'Emission Factors'!$G$2:$J$2,0),0),VLOOKUP(M42,'Emission Factors'!$G$152:$J$167,MATCH(K42,'Emission Factors'!$G$2:$J$2,0),0)))))</f>
        <v>1.6728199999999999E-2</v>
      </c>
      <c r="Q42" s="481">
        <f>IF($L42="CO2eq",VLOOKUP($M42, 'Emission Factors'!G183:J198,MATCH($K42,'Emission Factors'!$G$2:$J$2,0),0),IF(L42="CO",VLOOKUP($M42, 'Emission Factors'!$G$189:$J$204,MATCH(K42,'Emission Factors'!$G$2:$J$2,0),0),IF(L42="PM2.5",VLOOKUP(M42, 'Emission Factors'!$G$205:$J$220,MATCH(K42,'Emission Factors'!$G$2:$J$2,0),0),IF(L42="NOx",VLOOKUP(M42, 'Emission Factors'!$G$221:$J$236,MATCH(K42,'Emission Factors'!$G$2:$J$2,0),0),VLOOKUP(M42, 'Emission Factors'!$G$237:$J$252,MATCH(K42,'Emission Factors'!$G$2:$J$2,0),0)))))</f>
        <v>1.1268800000000001E-2</v>
      </c>
      <c r="R42" s="64"/>
      <c r="S42" s="64"/>
      <c r="T42" s="64"/>
      <c r="U42" s="64"/>
      <c r="V42" s="64"/>
      <c r="W42" s="64"/>
      <c r="X42" s="64"/>
      <c r="Y42" s="64"/>
      <c r="Z42" s="64"/>
      <c r="AA42" s="64"/>
      <c r="AB42" s="64"/>
      <c r="AC42" s="64"/>
      <c r="AD42" s="64"/>
      <c r="AE42" s="64"/>
      <c r="AF42" s="64"/>
      <c r="AG42" s="64"/>
      <c r="AH42" s="64"/>
      <c r="AI42" s="64"/>
      <c r="AJ42" s="64"/>
      <c r="AK42" s="64"/>
      <c r="AL42" s="64"/>
      <c r="AM42" s="64"/>
      <c r="AN42" s="64"/>
      <c r="AO42" s="64"/>
      <c r="AP42" s="64"/>
      <c r="AQ42" s="64"/>
      <c r="AR42" s="64"/>
      <c r="AS42" s="64"/>
      <c r="AT42" s="64"/>
      <c r="AU42" s="64"/>
      <c r="AV42" s="64"/>
      <c r="AW42" s="64"/>
      <c r="AX42" s="64"/>
      <c r="AY42" s="64"/>
      <c r="AZ42" s="64"/>
      <c r="BA42" s="64"/>
      <c r="BB42" s="64"/>
      <c r="BC42" s="64"/>
      <c r="BD42" s="64"/>
      <c r="BE42" s="64"/>
      <c r="BF42" s="64"/>
      <c r="BG42" s="64"/>
      <c r="BH42" s="64"/>
      <c r="BI42" s="64"/>
      <c r="BJ42" s="64"/>
      <c r="BK42" s="64"/>
      <c r="BL42" s="64"/>
      <c r="BM42" s="64"/>
      <c r="BN42" s="64"/>
      <c r="BO42" s="64"/>
      <c r="BP42" s="64"/>
      <c r="BQ42" s="64"/>
      <c r="BR42" s="64"/>
      <c r="BS42" s="64"/>
      <c r="BT42" s="64"/>
      <c r="BU42" s="64"/>
    </row>
    <row r="43" spans="1:77" s="12" customFormat="1" x14ac:dyDescent="0.35">
      <c r="A43" s="1"/>
      <c r="B43" s="1"/>
      <c r="C43" s="1"/>
      <c r="D43" s="1"/>
      <c r="E43" s="1"/>
      <c r="F43" s="1"/>
      <c r="G43" s="133"/>
      <c r="H43" s="133"/>
      <c r="I43" s="165"/>
      <c r="J43" s="64"/>
      <c r="K43" s="64"/>
      <c r="L43" s="64"/>
      <c r="M43" s="64"/>
      <c r="N43" s="65"/>
      <c r="O43" s="64"/>
      <c r="P43" s="64"/>
      <c r="Q43" s="64"/>
      <c r="R43" s="64"/>
      <c r="S43" s="64"/>
      <c r="T43" s="64"/>
      <c r="U43" s="64"/>
      <c r="V43" s="64"/>
      <c r="W43" s="64"/>
      <c r="X43" s="64"/>
      <c r="Y43" s="64"/>
      <c r="Z43" s="64"/>
      <c r="AA43" s="64"/>
      <c r="AB43" s="64"/>
      <c r="AC43" s="64"/>
      <c r="AD43" s="64"/>
      <c r="AE43" s="64"/>
      <c r="AF43" s="64"/>
      <c r="AG43" s="64"/>
      <c r="AH43" s="64"/>
      <c r="AI43" s="64"/>
      <c r="AJ43" s="64"/>
      <c r="AK43" s="64"/>
      <c r="AL43" s="64"/>
      <c r="AM43" s="64"/>
      <c r="AN43" s="64"/>
      <c r="AO43" s="64"/>
      <c r="AP43" s="64"/>
      <c r="AQ43" s="64"/>
      <c r="AR43" s="64"/>
      <c r="AS43" s="64"/>
      <c r="AT43" s="64"/>
      <c r="AU43" s="64"/>
      <c r="AV43" s="64"/>
      <c r="AW43" s="64"/>
      <c r="AX43" s="64"/>
      <c r="AY43" s="64"/>
      <c r="AZ43" s="64"/>
      <c r="BA43" s="64"/>
      <c r="BB43" s="64"/>
      <c r="BC43" s="64"/>
      <c r="BD43" s="64"/>
      <c r="BE43" s="64"/>
      <c r="BF43" s="64"/>
      <c r="BG43" s="64"/>
      <c r="BH43" s="64"/>
      <c r="BI43" s="64"/>
      <c r="BJ43" s="64"/>
      <c r="BK43" s="64"/>
      <c r="BL43" s="64"/>
      <c r="BM43" s="64"/>
      <c r="BN43" s="64"/>
      <c r="BO43" s="64"/>
      <c r="BP43" s="64"/>
      <c r="BQ43" s="64"/>
      <c r="BR43" s="64"/>
      <c r="BS43" s="64"/>
      <c r="BT43" s="64"/>
      <c r="BU43" s="64"/>
    </row>
    <row r="44" spans="1:77" s="12" customFormat="1" x14ac:dyDescent="0.35">
      <c r="B44" s="64"/>
      <c r="C44" s="64"/>
      <c r="D44" s="64"/>
      <c r="E44" s="64"/>
      <c r="F44" s="64"/>
      <c r="G44" s="133"/>
      <c r="H44" s="133"/>
      <c r="I44" s="165"/>
      <c r="J44" s="64"/>
      <c r="K44" s="64"/>
      <c r="L44" s="64"/>
      <c r="M44" s="64"/>
      <c r="N44" s="65"/>
      <c r="O44" s="64"/>
      <c r="P44" s="64"/>
      <c r="Q44" s="64"/>
      <c r="R44" s="64"/>
      <c r="S44" s="64"/>
      <c r="T44" s="64"/>
      <c r="U44" s="64"/>
      <c r="V44" s="64"/>
      <c r="W44" s="64"/>
      <c r="X44" s="64"/>
      <c r="Y44" s="64"/>
      <c r="Z44" s="64"/>
      <c r="AA44" s="64"/>
      <c r="AB44" s="64"/>
      <c r="AC44" s="64"/>
      <c r="AD44" s="64"/>
      <c r="AE44" s="64"/>
      <c r="AF44" s="64"/>
      <c r="AG44" s="64"/>
      <c r="AH44" s="64"/>
      <c r="AI44" s="64"/>
      <c r="AJ44" s="64"/>
      <c r="AK44" s="64"/>
      <c r="AL44" s="64"/>
      <c r="AM44" s="64"/>
      <c r="AN44" s="64"/>
      <c r="AO44" s="64"/>
      <c r="AP44" s="64"/>
      <c r="AQ44" s="64"/>
      <c r="AR44" s="64"/>
      <c r="AS44" s="64"/>
      <c r="AT44" s="64"/>
      <c r="AU44" s="64"/>
      <c r="AV44" s="64"/>
      <c r="AW44" s="64"/>
      <c r="AX44" s="64"/>
      <c r="AY44" s="64"/>
      <c r="AZ44" s="64"/>
      <c r="BA44" s="64"/>
      <c r="BB44" s="64"/>
      <c r="BC44" s="64"/>
      <c r="BD44" s="64"/>
      <c r="BE44" s="64"/>
      <c r="BF44" s="64"/>
      <c r="BG44" s="64"/>
      <c r="BH44" s="64"/>
      <c r="BI44" s="64"/>
      <c r="BJ44" s="64"/>
      <c r="BK44" s="64"/>
      <c r="BL44" s="64"/>
      <c r="BM44" s="64"/>
      <c r="BN44" s="64"/>
      <c r="BO44" s="64"/>
      <c r="BP44" s="64"/>
      <c r="BQ44" s="64"/>
      <c r="BR44" s="64"/>
      <c r="BS44" s="64"/>
      <c r="BT44" s="64"/>
      <c r="BU44" s="64"/>
      <c r="BV44" s="64"/>
      <c r="BW44" s="64"/>
      <c r="BX44" s="64"/>
      <c r="BY44" s="64"/>
    </row>
    <row r="45" spans="1:77" s="64" customFormat="1" ht="15.5" x14ac:dyDescent="0.35">
      <c r="A45" s="1"/>
      <c r="B45" s="61" t="s">
        <v>116</v>
      </c>
      <c r="C45" s="1"/>
      <c r="D45" s="1"/>
      <c r="E45" s="60"/>
      <c r="F45" s="60"/>
      <c r="G45" s="133"/>
      <c r="H45" s="133"/>
      <c r="I45" s="165"/>
      <c r="N45" s="65"/>
    </row>
    <row r="46" spans="1:77" s="60" customFormat="1" x14ac:dyDescent="0.35">
      <c r="B46" s="102" t="s">
        <v>84</v>
      </c>
      <c r="C46" s="102" t="s">
        <v>85</v>
      </c>
      <c r="G46" s="133"/>
      <c r="H46" s="133"/>
      <c r="I46" s="165"/>
      <c r="J46" s="64"/>
      <c r="K46" s="64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  <c r="AA46" s="65"/>
      <c r="AB46" s="65"/>
      <c r="AC46" s="65"/>
      <c r="AD46" s="65"/>
      <c r="AE46" s="65"/>
      <c r="AF46" s="65"/>
      <c r="AG46" s="65"/>
      <c r="AH46" s="65"/>
      <c r="AI46" s="65"/>
      <c r="AJ46" s="65"/>
      <c r="AK46" s="65"/>
      <c r="AL46" s="65"/>
      <c r="AM46" s="65"/>
      <c r="AN46" s="65"/>
      <c r="AO46" s="65"/>
      <c r="AP46" s="65"/>
      <c r="AQ46" s="65"/>
      <c r="AR46" s="65"/>
      <c r="AS46" s="65"/>
      <c r="AT46" s="65"/>
      <c r="AU46" s="65"/>
      <c r="AV46" s="65"/>
      <c r="AW46" s="65"/>
      <c r="AX46" s="65"/>
      <c r="AY46" s="65"/>
      <c r="AZ46" s="65"/>
      <c r="BA46" s="65"/>
      <c r="BB46" s="65"/>
      <c r="BC46" s="65"/>
      <c r="BD46" s="65"/>
      <c r="BE46" s="65"/>
      <c r="BF46" s="65"/>
      <c r="BG46" s="65"/>
      <c r="BH46" s="65"/>
      <c r="BI46" s="65"/>
      <c r="BJ46" s="65"/>
      <c r="BK46" s="65"/>
      <c r="BL46" s="65"/>
      <c r="BM46" s="65"/>
      <c r="BN46" s="65"/>
      <c r="BO46" s="65"/>
      <c r="BP46" s="65"/>
      <c r="BQ46" s="65"/>
      <c r="BR46" s="65"/>
      <c r="BS46" s="65"/>
      <c r="BT46" s="65"/>
      <c r="BU46" s="65"/>
      <c r="BV46" s="65"/>
      <c r="BW46" s="65"/>
    </row>
    <row r="47" spans="1:77" s="60" customFormat="1" x14ac:dyDescent="0.35">
      <c r="B47" s="112" t="s">
        <v>62</v>
      </c>
      <c r="C47" s="131">
        <f>IF(SUM(I15:I16)&gt;0,"(Error]",H32*H16)</f>
        <v>0</v>
      </c>
      <c r="G47" s="133"/>
      <c r="H47" s="140">
        <f>C47</f>
        <v>0</v>
      </c>
      <c r="I47" s="165"/>
      <c r="J47" s="64"/>
      <c r="K47" s="64"/>
      <c r="L47" s="65"/>
      <c r="M47" s="65"/>
      <c r="N47" s="65"/>
      <c r="O47" s="65"/>
      <c r="P47" s="65"/>
      <c r="Q47" s="65"/>
      <c r="R47" s="65"/>
      <c r="S47" s="65"/>
      <c r="T47" s="65"/>
      <c r="U47" s="65"/>
      <c r="V47" s="65"/>
      <c r="W47" s="65"/>
      <c r="X47" s="65"/>
      <c r="Y47" s="65"/>
      <c r="Z47" s="65"/>
      <c r="AA47" s="65"/>
      <c r="AB47" s="65"/>
      <c r="AC47" s="65"/>
      <c r="AD47" s="65"/>
      <c r="AE47" s="65"/>
      <c r="AF47" s="65"/>
      <c r="AG47" s="65"/>
      <c r="AH47" s="65"/>
      <c r="AI47" s="65"/>
      <c r="AJ47" s="65"/>
      <c r="AK47" s="65"/>
      <c r="AL47" s="65"/>
      <c r="AM47" s="65"/>
      <c r="AN47" s="65"/>
      <c r="AO47" s="65"/>
      <c r="AP47" s="65"/>
      <c r="AQ47" s="65"/>
      <c r="AR47" s="65"/>
      <c r="AS47" s="65"/>
      <c r="AT47" s="65"/>
      <c r="AU47" s="65"/>
      <c r="AV47" s="65"/>
      <c r="AW47" s="65"/>
      <c r="AX47" s="65"/>
      <c r="AY47" s="65"/>
      <c r="AZ47" s="65"/>
      <c r="BA47" s="65"/>
      <c r="BB47" s="65"/>
      <c r="BC47" s="65"/>
      <c r="BD47" s="65"/>
      <c r="BE47" s="65"/>
      <c r="BF47" s="65"/>
      <c r="BG47" s="65"/>
      <c r="BH47" s="65"/>
      <c r="BI47" s="65"/>
      <c r="BJ47" s="65"/>
      <c r="BK47" s="65"/>
      <c r="BL47" s="65"/>
      <c r="BM47" s="65"/>
      <c r="BN47" s="65"/>
      <c r="BO47" s="65"/>
      <c r="BP47" s="65"/>
      <c r="BQ47" s="65"/>
      <c r="BR47" s="65"/>
      <c r="BS47" s="65"/>
      <c r="BT47" s="65"/>
      <c r="BU47" s="65"/>
      <c r="BV47" s="65"/>
      <c r="BW47" s="65"/>
    </row>
    <row r="48" spans="1:77" s="60" customFormat="1" x14ac:dyDescent="0.35">
      <c r="B48" s="111" t="s">
        <v>65</v>
      </c>
      <c r="C48" s="131">
        <f>IF(SUM(I$15:I$16)&gt;0,"(Error]",H$47*H38/1000)</f>
        <v>0</v>
      </c>
      <c r="G48" s="133"/>
      <c r="H48" s="140">
        <f>C48</f>
        <v>0</v>
      </c>
      <c r="I48" s="165"/>
      <c r="J48" s="64"/>
      <c r="K48" s="64"/>
      <c r="L48" s="65"/>
      <c r="M48" s="65"/>
      <c r="N48" s="65"/>
      <c r="O48" s="65"/>
      <c r="P48" s="65"/>
      <c r="Q48" s="65"/>
      <c r="R48" s="65"/>
      <c r="S48" s="65"/>
      <c r="T48" s="65"/>
      <c r="U48" s="65"/>
      <c r="V48" s="65"/>
      <c r="W48" s="65"/>
      <c r="X48" s="65"/>
      <c r="Y48" s="65"/>
      <c r="Z48" s="65"/>
      <c r="AA48" s="65"/>
      <c r="AB48" s="65"/>
      <c r="AC48" s="65"/>
      <c r="AD48" s="65"/>
      <c r="AE48" s="65"/>
      <c r="AF48" s="65"/>
      <c r="AG48" s="65"/>
      <c r="AH48" s="65"/>
      <c r="AI48" s="65"/>
      <c r="AJ48" s="65"/>
      <c r="AK48" s="65"/>
      <c r="AL48" s="65"/>
      <c r="AM48" s="65"/>
      <c r="AN48" s="65"/>
      <c r="AO48" s="65"/>
      <c r="AP48" s="65"/>
      <c r="AQ48" s="65"/>
      <c r="AR48" s="65"/>
      <c r="AS48" s="65"/>
      <c r="AT48" s="65"/>
      <c r="AU48" s="65"/>
      <c r="AV48" s="65"/>
      <c r="AW48" s="65"/>
      <c r="AX48" s="65"/>
      <c r="AY48" s="65"/>
      <c r="AZ48" s="65"/>
      <c r="BA48" s="65"/>
      <c r="BB48" s="65"/>
      <c r="BC48" s="65"/>
      <c r="BD48" s="65"/>
      <c r="BE48" s="65"/>
      <c r="BF48" s="65"/>
      <c r="BG48" s="65"/>
      <c r="BH48" s="65"/>
      <c r="BI48" s="65"/>
      <c r="BJ48" s="65"/>
      <c r="BK48" s="65"/>
      <c r="BL48" s="65"/>
      <c r="BM48" s="65"/>
      <c r="BN48" s="65"/>
      <c r="BO48" s="65"/>
      <c r="BP48" s="65"/>
      <c r="BQ48" s="65"/>
      <c r="BR48" s="65"/>
      <c r="BS48" s="65"/>
      <c r="BT48" s="65"/>
      <c r="BU48" s="65"/>
      <c r="BV48" s="65"/>
      <c r="BW48" s="65"/>
    </row>
    <row r="49" spans="1:77" s="60" customFormat="1" x14ac:dyDescent="0.35">
      <c r="B49" s="111" t="s">
        <v>66</v>
      </c>
      <c r="C49" s="131">
        <f>IF(SUM(I$15:I$16)&gt;0,"(Error]",H$47*H39/1000)</f>
        <v>0</v>
      </c>
      <c r="G49" s="133"/>
      <c r="H49" s="140">
        <f t="shared" ref="H49:H52" si="4">C49</f>
        <v>0</v>
      </c>
      <c r="I49" s="165"/>
      <c r="J49" s="64"/>
      <c r="K49" s="64"/>
      <c r="L49" s="65"/>
      <c r="M49" s="65"/>
      <c r="N49" s="65"/>
      <c r="O49" s="65"/>
      <c r="P49" s="65"/>
      <c r="Q49" s="65"/>
      <c r="R49" s="65"/>
      <c r="S49" s="65"/>
      <c r="T49" s="65"/>
      <c r="U49" s="65"/>
      <c r="V49" s="65"/>
      <c r="W49" s="65"/>
      <c r="X49" s="65"/>
      <c r="Y49" s="65"/>
      <c r="Z49" s="65"/>
      <c r="AA49" s="65"/>
      <c r="AB49" s="65"/>
      <c r="AC49" s="65"/>
      <c r="AD49" s="65"/>
      <c r="AE49" s="65"/>
      <c r="AF49" s="65"/>
      <c r="AG49" s="65"/>
      <c r="AH49" s="65"/>
      <c r="AI49" s="65"/>
      <c r="AJ49" s="65"/>
      <c r="AK49" s="65"/>
      <c r="AL49" s="65"/>
      <c r="AM49" s="65"/>
      <c r="AN49" s="65"/>
      <c r="AO49" s="65"/>
      <c r="AP49" s="65"/>
      <c r="AQ49" s="65"/>
      <c r="AR49" s="65"/>
      <c r="AS49" s="65"/>
      <c r="AT49" s="65"/>
      <c r="AU49" s="65"/>
      <c r="AV49" s="65"/>
      <c r="AW49" s="65"/>
      <c r="AX49" s="65"/>
      <c r="AY49" s="65"/>
      <c r="AZ49" s="65"/>
      <c r="BA49" s="65"/>
      <c r="BB49" s="65"/>
      <c r="BC49" s="65"/>
      <c r="BD49" s="65"/>
      <c r="BE49" s="65"/>
      <c r="BF49" s="65"/>
      <c r="BG49" s="65"/>
      <c r="BH49" s="65"/>
      <c r="BI49" s="65"/>
      <c r="BJ49" s="65"/>
      <c r="BK49" s="65"/>
      <c r="BL49" s="65"/>
      <c r="BM49" s="65"/>
      <c r="BN49" s="65"/>
      <c r="BO49" s="65"/>
      <c r="BP49" s="65"/>
      <c r="BQ49" s="65"/>
      <c r="BR49" s="65"/>
      <c r="BS49" s="65"/>
      <c r="BT49" s="65"/>
      <c r="BU49" s="65"/>
      <c r="BV49" s="65"/>
      <c r="BW49" s="65"/>
    </row>
    <row r="50" spans="1:77" s="60" customFormat="1" x14ac:dyDescent="0.35">
      <c r="B50" s="111" t="s">
        <v>67</v>
      </c>
      <c r="C50" s="131">
        <f>IF(SUM(I$15:I$16)&gt;0,"(Error]",H$47*H40/1000)</f>
        <v>0</v>
      </c>
      <c r="D50" s="1"/>
      <c r="E50" s="1"/>
      <c r="F50" s="1"/>
      <c r="G50" s="133"/>
      <c r="H50" s="140">
        <f t="shared" si="4"/>
        <v>0</v>
      </c>
      <c r="I50" s="165"/>
      <c r="J50" s="64"/>
      <c r="K50" s="64"/>
      <c r="L50" s="64"/>
      <c r="M50" s="65"/>
      <c r="N50" s="65"/>
      <c r="O50" s="65"/>
      <c r="P50" s="65"/>
      <c r="Q50" s="65"/>
      <c r="R50" s="65"/>
      <c r="S50" s="65"/>
      <c r="T50" s="65"/>
      <c r="U50" s="65"/>
      <c r="V50" s="65"/>
      <c r="W50" s="65"/>
      <c r="X50" s="65"/>
      <c r="Y50" s="65"/>
      <c r="Z50" s="65"/>
      <c r="AA50" s="65"/>
      <c r="AB50" s="65"/>
      <c r="AC50" s="65"/>
      <c r="AD50" s="65"/>
      <c r="AE50" s="65"/>
      <c r="AF50" s="65"/>
      <c r="AG50" s="65"/>
      <c r="AH50" s="65"/>
      <c r="AI50" s="65"/>
      <c r="AJ50" s="65"/>
      <c r="AK50" s="65"/>
      <c r="AL50" s="65"/>
      <c r="AM50" s="65"/>
      <c r="AN50" s="65"/>
      <c r="AO50" s="65"/>
      <c r="AP50" s="65"/>
      <c r="AQ50" s="65"/>
      <c r="AR50" s="65"/>
      <c r="AS50" s="65"/>
      <c r="AT50" s="65"/>
      <c r="AU50" s="65"/>
      <c r="AV50" s="65"/>
      <c r="AW50" s="65"/>
      <c r="AX50" s="65"/>
      <c r="AY50" s="65"/>
      <c r="AZ50" s="65"/>
      <c r="BA50" s="65"/>
      <c r="BB50" s="65"/>
      <c r="BC50" s="65"/>
      <c r="BD50" s="65"/>
      <c r="BE50" s="65"/>
      <c r="BF50" s="65"/>
      <c r="BG50" s="65"/>
      <c r="BH50" s="65"/>
      <c r="BI50" s="65"/>
      <c r="BJ50" s="65"/>
      <c r="BK50" s="65"/>
      <c r="BL50" s="65"/>
      <c r="BM50" s="65"/>
      <c r="BN50" s="65"/>
      <c r="BO50" s="65"/>
      <c r="BP50" s="65"/>
      <c r="BQ50" s="65"/>
      <c r="BR50" s="65"/>
      <c r="BS50" s="65"/>
      <c r="BT50" s="65"/>
      <c r="BU50" s="65"/>
      <c r="BV50" s="65"/>
      <c r="BW50" s="65"/>
    </row>
    <row r="51" spans="1:77" x14ac:dyDescent="0.35">
      <c r="B51" s="111" t="s">
        <v>68</v>
      </c>
      <c r="C51" s="131">
        <f>IF(SUM(I$15:I$16)&gt;0,"(Error]",H$47*H41/1000)</f>
        <v>0</v>
      </c>
      <c r="G51" s="133"/>
      <c r="H51" s="140">
        <f t="shared" si="4"/>
        <v>0</v>
      </c>
      <c r="I51" s="165"/>
      <c r="M51" s="64"/>
      <c r="BX51" s="1"/>
    </row>
    <row r="52" spans="1:77" x14ac:dyDescent="0.35">
      <c r="B52" s="111" t="s">
        <v>69</v>
      </c>
      <c r="C52" s="131">
        <f>IF(SUM(I$15:I$16)&gt;0,"(Error]",H$47*H42/1000)</f>
        <v>0</v>
      </c>
      <c r="G52" s="133"/>
      <c r="H52" s="140">
        <f t="shared" si="4"/>
        <v>0</v>
      </c>
      <c r="I52" s="165"/>
      <c r="M52" s="64"/>
      <c r="BX52" s="1"/>
    </row>
    <row r="53" spans="1:77" x14ac:dyDescent="0.35">
      <c r="G53" s="133"/>
      <c r="H53" s="133"/>
      <c r="I53" s="165"/>
      <c r="M53" s="64"/>
      <c r="BY53" s="64"/>
    </row>
    <row r="54" spans="1:77" x14ac:dyDescent="0.35">
      <c r="A54" s="64"/>
      <c r="B54" s="64"/>
      <c r="C54" s="64"/>
      <c r="D54" s="64"/>
      <c r="E54" s="64"/>
      <c r="F54" s="64"/>
      <c r="G54" s="133"/>
      <c r="H54" s="133"/>
      <c r="I54" s="165"/>
      <c r="M54" s="64"/>
    </row>
    <row r="55" spans="1:77" s="64" customFormat="1" x14ac:dyDescent="0.35">
      <c r="G55" s="133"/>
      <c r="H55" s="133"/>
      <c r="I55" s="165"/>
    </row>
    <row r="56" spans="1:77" s="64" customFormat="1" x14ac:dyDescent="0.35">
      <c r="G56" s="133"/>
      <c r="H56" s="133"/>
      <c r="I56" s="165"/>
    </row>
    <row r="57" spans="1:77" s="64" customFormat="1" x14ac:dyDescent="0.35">
      <c r="G57" s="133"/>
      <c r="H57" s="133"/>
      <c r="I57" s="165"/>
    </row>
    <row r="58" spans="1:77" s="64" customFormat="1" x14ac:dyDescent="0.35">
      <c r="G58" s="133"/>
      <c r="H58" s="133"/>
      <c r="I58" s="165"/>
    </row>
    <row r="59" spans="1:77" s="64" customFormat="1" x14ac:dyDescent="0.35">
      <c r="G59" s="133"/>
      <c r="H59" s="133"/>
      <c r="I59" s="165"/>
    </row>
    <row r="60" spans="1:77" s="64" customFormat="1" x14ac:dyDescent="0.35">
      <c r="G60" s="133"/>
      <c r="H60" s="133"/>
      <c r="I60" s="165"/>
    </row>
    <row r="61" spans="1:77" s="64" customFormat="1" x14ac:dyDescent="0.35">
      <c r="G61" s="133"/>
      <c r="H61" s="133"/>
      <c r="I61" s="165"/>
    </row>
    <row r="62" spans="1:77" s="64" customFormat="1" x14ac:dyDescent="0.35">
      <c r="G62" s="133"/>
      <c r="H62" s="133"/>
      <c r="I62" s="165"/>
    </row>
    <row r="63" spans="1:77" s="64" customFormat="1" x14ac:dyDescent="0.35">
      <c r="G63" s="133"/>
      <c r="H63" s="133"/>
      <c r="I63" s="165"/>
    </row>
    <row r="64" spans="1:77" s="64" customFormat="1" x14ac:dyDescent="0.35">
      <c r="G64" s="133"/>
      <c r="H64" s="133"/>
      <c r="I64" s="165"/>
    </row>
    <row r="65" spans="7:9" s="64" customFormat="1" x14ac:dyDescent="0.35">
      <c r="G65" s="133"/>
      <c r="H65" s="133"/>
      <c r="I65" s="165"/>
    </row>
    <row r="66" spans="7:9" s="64" customFormat="1" x14ac:dyDescent="0.35">
      <c r="G66" s="133"/>
      <c r="H66" s="133"/>
      <c r="I66" s="165"/>
    </row>
    <row r="67" spans="7:9" s="64" customFormat="1" x14ac:dyDescent="0.35">
      <c r="G67" s="133"/>
      <c r="H67" s="133"/>
      <c r="I67" s="165"/>
    </row>
    <row r="68" spans="7:9" s="64" customFormat="1" x14ac:dyDescent="0.35">
      <c r="G68" s="133"/>
      <c r="H68" s="133"/>
      <c r="I68" s="165"/>
    </row>
    <row r="69" spans="7:9" s="64" customFormat="1" x14ac:dyDescent="0.35">
      <c r="G69" s="133"/>
      <c r="H69" s="133"/>
      <c r="I69" s="165"/>
    </row>
    <row r="70" spans="7:9" s="64" customFormat="1" x14ac:dyDescent="0.35">
      <c r="G70" s="133"/>
      <c r="H70" s="133"/>
      <c r="I70" s="165"/>
    </row>
    <row r="71" spans="7:9" s="64" customFormat="1" x14ac:dyDescent="0.35">
      <c r="G71" s="133"/>
      <c r="H71" s="133"/>
      <c r="I71" s="165"/>
    </row>
    <row r="72" spans="7:9" s="64" customFormat="1" x14ac:dyDescent="0.35">
      <c r="G72" s="133"/>
      <c r="H72" s="133"/>
      <c r="I72" s="165"/>
    </row>
    <row r="73" spans="7:9" s="64" customFormat="1" x14ac:dyDescent="0.35">
      <c r="G73" s="133"/>
      <c r="H73" s="133"/>
      <c r="I73" s="165"/>
    </row>
    <row r="74" spans="7:9" s="64" customFormat="1" x14ac:dyDescent="0.35">
      <c r="G74" s="133"/>
      <c r="H74" s="133"/>
      <c r="I74" s="165"/>
    </row>
    <row r="75" spans="7:9" s="64" customFormat="1" x14ac:dyDescent="0.35">
      <c r="G75" s="133"/>
      <c r="H75" s="133"/>
      <c r="I75" s="165"/>
    </row>
    <row r="76" spans="7:9" s="64" customFormat="1" x14ac:dyDescent="0.35">
      <c r="G76" s="133"/>
      <c r="H76" s="133"/>
      <c r="I76" s="165"/>
    </row>
    <row r="77" spans="7:9" s="64" customFormat="1" x14ac:dyDescent="0.35">
      <c r="G77" s="133"/>
      <c r="H77" s="133"/>
      <c r="I77" s="165"/>
    </row>
    <row r="78" spans="7:9" s="64" customFormat="1" x14ac:dyDescent="0.35">
      <c r="G78" s="133"/>
      <c r="H78" s="133"/>
      <c r="I78" s="165"/>
    </row>
    <row r="79" spans="7:9" s="64" customFormat="1" x14ac:dyDescent="0.35">
      <c r="G79" s="133"/>
      <c r="H79" s="133"/>
      <c r="I79" s="165"/>
    </row>
    <row r="80" spans="7:9" s="64" customFormat="1" x14ac:dyDescent="0.35">
      <c r="G80" s="133"/>
      <c r="H80" s="133"/>
      <c r="I80" s="165"/>
    </row>
    <row r="81" spans="7:9" s="64" customFormat="1" x14ac:dyDescent="0.35">
      <c r="G81" s="133"/>
      <c r="H81" s="133"/>
      <c r="I81" s="165"/>
    </row>
    <row r="82" spans="7:9" s="64" customFormat="1" x14ac:dyDescent="0.35">
      <c r="G82" s="133"/>
      <c r="H82" s="133"/>
      <c r="I82" s="165"/>
    </row>
    <row r="83" spans="7:9" s="64" customFormat="1" x14ac:dyDescent="0.35">
      <c r="G83" s="133"/>
      <c r="H83" s="133"/>
      <c r="I83" s="165"/>
    </row>
    <row r="84" spans="7:9" s="64" customFormat="1" x14ac:dyDescent="0.35">
      <c r="G84" s="133"/>
      <c r="H84" s="133"/>
      <c r="I84" s="165"/>
    </row>
    <row r="85" spans="7:9" s="64" customFormat="1" x14ac:dyDescent="0.35">
      <c r="G85" s="133"/>
      <c r="H85" s="133"/>
      <c r="I85" s="165"/>
    </row>
    <row r="86" spans="7:9" s="64" customFormat="1" x14ac:dyDescent="0.35">
      <c r="G86" s="133"/>
      <c r="H86" s="133"/>
      <c r="I86" s="165"/>
    </row>
    <row r="87" spans="7:9" s="64" customFormat="1" x14ac:dyDescent="0.35">
      <c r="G87" s="133"/>
      <c r="H87" s="133"/>
      <c r="I87" s="165"/>
    </row>
    <row r="88" spans="7:9" s="64" customFormat="1" x14ac:dyDescent="0.35">
      <c r="G88" s="133"/>
      <c r="H88" s="133"/>
      <c r="I88" s="165"/>
    </row>
    <row r="89" spans="7:9" s="64" customFormat="1" x14ac:dyDescent="0.35">
      <c r="G89" s="133"/>
      <c r="H89" s="133"/>
      <c r="I89" s="165"/>
    </row>
    <row r="90" spans="7:9" s="64" customFormat="1" x14ac:dyDescent="0.35">
      <c r="G90" s="133"/>
      <c r="H90" s="133"/>
      <c r="I90" s="165"/>
    </row>
    <row r="91" spans="7:9" s="64" customFormat="1" x14ac:dyDescent="0.35">
      <c r="G91" s="133"/>
      <c r="H91" s="133"/>
      <c r="I91" s="165"/>
    </row>
    <row r="92" spans="7:9" s="64" customFormat="1" x14ac:dyDescent="0.35">
      <c r="G92" s="133"/>
      <c r="H92" s="133"/>
      <c r="I92" s="165"/>
    </row>
    <row r="93" spans="7:9" s="64" customFormat="1" x14ac:dyDescent="0.35">
      <c r="G93" s="133"/>
      <c r="H93" s="133"/>
      <c r="I93" s="165"/>
    </row>
    <row r="94" spans="7:9" s="64" customFormat="1" x14ac:dyDescent="0.35">
      <c r="G94" s="133"/>
      <c r="H94" s="133"/>
      <c r="I94" s="165"/>
    </row>
    <row r="95" spans="7:9" s="64" customFormat="1" x14ac:dyDescent="0.35">
      <c r="G95" s="133"/>
      <c r="H95" s="133"/>
      <c r="I95" s="165"/>
    </row>
    <row r="96" spans="7:9" s="64" customFormat="1" x14ac:dyDescent="0.35">
      <c r="G96" s="133"/>
      <c r="H96" s="133"/>
      <c r="I96" s="165"/>
    </row>
    <row r="97" spans="7:9" s="64" customFormat="1" x14ac:dyDescent="0.35">
      <c r="G97" s="133"/>
      <c r="H97" s="133"/>
      <c r="I97" s="165"/>
    </row>
    <row r="98" spans="7:9" s="64" customFormat="1" x14ac:dyDescent="0.35">
      <c r="G98" s="133"/>
      <c r="H98" s="133"/>
      <c r="I98" s="165"/>
    </row>
    <row r="99" spans="7:9" s="64" customFormat="1" x14ac:dyDescent="0.35">
      <c r="G99" s="133"/>
      <c r="H99" s="133"/>
      <c r="I99" s="165"/>
    </row>
    <row r="100" spans="7:9" s="64" customFormat="1" x14ac:dyDescent="0.35">
      <c r="G100" s="133"/>
      <c r="H100" s="133"/>
      <c r="I100" s="165"/>
    </row>
    <row r="101" spans="7:9" s="64" customFormat="1" x14ac:dyDescent="0.35">
      <c r="G101" s="133"/>
      <c r="H101" s="133"/>
      <c r="I101" s="165"/>
    </row>
    <row r="102" spans="7:9" s="64" customFormat="1" x14ac:dyDescent="0.35">
      <c r="G102" s="133"/>
      <c r="H102" s="133"/>
      <c r="I102" s="165"/>
    </row>
    <row r="103" spans="7:9" s="64" customFormat="1" x14ac:dyDescent="0.35">
      <c r="G103" s="133"/>
      <c r="H103" s="133"/>
      <c r="I103" s="165"/>
    </row>
    <row r="104" spans="7:9" s="64" customFormat="1" x14ac:dyDescent="0.35">
      <c r="G104" s="133"/>
      <c r="H104" s="133"/>
      <c r="I104" s="165"/>
    </row>
    <row r="105" spans="7:9" s="64" customFormat="1" x14ac:dyDescent="0.35">
      <c r="G105" s="133"/>
      <c r="H105" s="133"/>
      <c r="I105" s="165"/>
    </row>
    <row r="106" spans="7:9" s="64" customFormat="1" x14ac:dyDescent="0.35">
      <c r="G106" s="133"/>
      <c r="H106" s="133"/>
      <c r="I106" s="165"/>
    </row>
    <row r="107" spans="7:9" s="64" customFormat="1" x14ac:dyDescent="0.35">
      <c r="G107" s="133"/>
      <c r="H107" s="133"/>
      <c r="I107" s="165"/>
    </row>
    <row r="108" spans="7:9" s="64" customFormat="1" x14ac:dyDescent="0.35">
      <c r="G108" s="133"/>
      <c r="H108" s="133"/>
      <c r="I108" s="165"/>
    </row>
    <row r="109" spans="7:9" s="64" customFormat="1" x14ac:dyDescent="0.35">
      <c r="G109" s="133"/>
      <c r="H109" s="133"/>
      <c r="I109" s="165"/>
    </row>
    <row r="110" spans="7:9" s="64" customFormat="1" x14ac:dyDescent="0.35">
      <c r="G110" s="133"/>
      <c r="H110" s="133"/>
      <c r="I110" s="165"/>
    </row>
    <row r="111" spans="7:9" s="64" customFormat="1" x14ac:dyDescent="0.35">
      <c r="G111" s="133"/>
      <c r="H111" s="133"/>
      <c r="I111" s="165"/>
    </row>
    <row r="112" spans="7:9" s="64" customFormat="1" x14ac:dyDescent="0.35">
      <c r="G112" s="133"/>
      <c r="H112" s="133"/>
      <c r="I112" s="165"/>
    </row>
    <row r="113" spans="7:9" s="64" customFormat="1" x14ac:dyDescent="0.35">
      <c r="G113" s="133"/>
      <c r="H113" s="133"/>
      <c r="I113" s="165"/>
    </row>
    <row r="114" spans="7:9" s="64" customFormat="1" x14ac:dyDescent="0.35">
      <c r="G114" s="133"/>
      <c r="H114" s="133"/>
      <c r="I114" s="165"/>
    </row>
    <row r="115" spans="7:9" s="64" customFormat="1" x14ac:dyDescent="0.35">
      <c r="G115" s="133"/>
      <c r="H115" s="133"/>
      <c r="I115" s="165"/>
    </row>
    <row r="116" spans="7:9" s="64" customFormat="1" x14ac:dyDescent="0.35">
      <c r="G116" s="133"/>
      <c r="H116" s="133"/>
      <c r="I116" s="165"/>
    </row>
    <row r="117" spans="7:9" s="64" customFormat="1" x14ac:dyDescent="0.35">
      <c r="G117" s="133"/>
      <c r="H117" s="133"/>
      <c r="I117" s="165"/>
    </row>
    <row r="118" spans="7:9" s="64" customFormat="1" x14ac:dyDescent="0.35">
      <c r="G118" s="133"/>
      <c r="H118" s="133"/>
      <c r="I118" s="165"/>
    </row>
    <row r="119" spans="7:9" s="64" customFormat="1" x14ac:dyDescent="0.35">
      <c r="G119" s="133"/>
      <c r="H119" s="133"/>
      <c r="I119" s="165"/>
    </row>
    <row r="120" spans="7:9" s="64" customFormat="1" x14ac:dyDescent="0.35">
      <c r="G120" s="133"/>
      <c r="H120" s="133"/>
      <c r="I120" s="165"/>
    </row>
    <row r="121" spans="7:9" s="64" customFormat="1" x14ac:dyDescent="0.35">
      <c r="G121" s="133"/>
      <c r="H121" s="133"/>
      <c r="I121" s="165"/>
    </row>
    <row r="122" spans="7:9" s="64" customFormat="1" x14ac:dyDescent="0.35">
      <c r="G122" s="133"/>
      <c r="H122" s="133"/>
      <c r="I122" s="165"/>
    </row>
    <row r="123" spans="7:9" s="64" customFormat="1" x14ac:dyDescent="0.35">
      <c r="G123" s="133"/>
      <c r="H123" s="133"/>
      <c r="I123" s="165"/>
    </row>
    <row r="124" spans="7:9" s="64" customFormat="1" x14ac:dyDescent="0.35">
      <c r="G124" s="133"/>
      <c r="H124" s="133"/>
      <c r="I124" s="165"/>
    </row>
    <row r="125" spans="7:9" s="64" customFormat="1" x14ac:dyDescent="0.35">
      <c r="G125" s="133"/>
      <c r="H125" s="133"/>
      <c r="I125" s="165"/>
    </row>
    <row r="126" spans="7:9" s="64" customFormat="1" x14ac:dyDescent="0.35">
      <c r="G126" s="133"/>
      <c r="H126" s="133"/>
      <c r="I126" s="165"/>
    </row>
    <row r="127" spans="7:9" s="64" customFormat="1" x14ac:dyDescent="0.35">
      <c r="G127" s="133"/>
      <c r="H127" s="133"/>
      <c r="I127" s="165"/>
    </row>
    <row r="128" spans="7:9" s="64" customFormat="1" x14ac:dyDescent="0.35">
      <c r="G128" s="133"/>
      <c r="H128" s="133"/>
      <c r="I128" s="165"/>
    </row>
    <row r="129" spans="7:9" s="64" customFormat="1" x14ac:dyDescent="0.35">
      <c r="G129" s="133"/>
      <c r="H129" s="133"/>
      <c r="I129" s="165"/>
    </row>
    <row r="130" spans="7:9" s="64" customFormat="1" x14ac:dyDescent="0.35">
      <c r="G130" s="133"/>
      <c r="H130" s="133"/>
      <c r="I130" s="165"/>
    </row>
    <row r="131" spans="7:9" s="64" customFormat="1" x14ac:dyDescent="0.35">
      <c r="G131" s="133"/>
      <c r="H131" s="133"/>
      <c r="I131" s="165"/>
    </row>
    <row r="132" spans="7:9" s="64" customFormat="1" x14ac:dyDescent="0.35">
      <c r="G132" s="133"/>
      <c r="H132" s="133"/>
      <c r="I132" s="165"/>
    </row>
    <row r="133" spans="7:9" s="64" customFormat="1" x14ac:dyDescent="0.35">
      <c r="G133" s="133"/>
      <c r="H133" s="133"/>
      <c r="I133" s="165"/>
    </row>
    <row r="134" spans="7:9" s="64" customFormat="1" x14ac:dyDescent="0.35">
      <c r="G134" s="133"/>
      <c r="H134" s="133"/>
      <c r="I134" s="165"/>
    </row>
    <row r="135" spans="7:9" s="64" customFormat="1" x14ac:dyDescent="0.35">
      <c r="G135" s="133"/>
      <c r="H135" s="133"/>
      <c r="I135" s="165"/>
    </row>
    <row r="136" spans="7:9" s="64" customFormat="1" x14ac:dyDescent="0.35">
      <c r="G136" s="133"/>
      <c r="H136" s="133"/>
      <c r="I136" s="165"/>
    </row>
    <row r="137" spans="7:9" s="64" customFormat="1" x14ac:dyDescent="0.35">
      <c r="G137" s="133"/>
      <c r="H137" s="133"/>
      <c r="I137" s="165"/>
    </row>
    <row r="138" spans="7:9" s="64" customFormat="1" x14ac:dyDescent="0.35">
      <c r="G138" s="133"/>
      <c r="H138" s="133"/>
      <c r="I138" s="165"/>
    </row>
    <row r="139" spans="7:9" s="64" customFormat="1" x14ac:dyDescent="0.35">
      <c r="G139" s="133"/>
      <c r="H139" s="133"/>
      <c r="I139" s="165"/>
    </row>
    <row r="140" spans="7:9" s="64" customFormat="1" x14ac:dyDescent="0.35">
      <c r="G140" s="133"/>
      <c r="H140" s="133"/>
      <c r="I140" s="165"/>
    </row>
    <row r="141" spans="7:9" s="64" customFormat="1" x14ac:dyDescent="0.35">
      <c r="G141" s="133"/>
      <c r="H141" s="133"/>
      <c r="I141" s="165"/>
    </row>
    <row r="142" spans="7:9" s="64" customFormat="1" x14ac:dyDescent="0.35">
      <c r="G142" s="133"/>
      <c r="H142" s="133"/>
      <c r="I142" s="165"/>
    </row>
    <row r="143" spans="7:9" s="64" customFormat="1" x14ac:dyDescent="0.35">
      <c r="G143" s="133"/>
      <c r="H143" s="133"/>
      <c r="I143" s="165"/>
    </row>
    <row r="144" spans="7:9" s="64" customFormat="1" x14ac:dyDescent="0.35">
      <c r="G144" s="133"/>
      <c r="H144" s="133"/>
      <c r="I144" s="165"/>
    </row>
    <row r="145" spans="1:76" s="64" customFormat="1" x14ac:dyDescent="0.35">
      <c r="G145" s="133"/>
      <c r="H145" s="133"/>
      <c r="I145" s="165"/>
    </row>
    <row r="146" spans="1:76" s="64" customFormat="1" x14ac:dyDescent="0.35">
      <c r="G146" s="133"/>
      <c r="H146" s="133"/>
      <c r="I146" s="165"/>
    </row>
    <row r="147" spans="1:76" s="64" customFormat="1" x14ac:dyDescent="0.35">
      <c r="G147" s="133"/>
      <c r="H147" s="133"/>
      <c r="I147" s="165"/>
    </row>
    <row r="148" spans="1:76" s="64" customFormat="1" x14ac:dyDescent="0.35">
      <c r="G148" s="133"/>
      <c r="H148" s="133"/>
      <c r="I148" s="165"/>
    </row>
    <row r="149" spans="1:76" s="64" customFormat="1" x14ac:dyDescent="0.35">
      <c r="G149" s="133"/>
      <c r="H149" s="133"/>
      <c r="I149" s="165"/>
    </row>
    <row r="150" spans="1:76" s="64" customFormat="1" x14ac:dyDescent="0.35">
      <c r="G150" s="133"/>
      <c r="H150" s="133"/>
      <c r="I150" s="165"/>
    </row>
    <row r="151" spans="1:76" s="64" customFormat="1" x14ac:dyDescent="0.35">
      <c r="A151" s="13"/>
      <c r="B151" s="13"/>
      <c r="C151" s="13"/>
      <c r="D151" s="13"/>
      <c r="E151" s="13"/>
      <c r="F151" s="13"/>
      <c r="G151" s="170"/>
      <c r="H151" s="170"/>
      <c r="I151" s="167"/>
      <c r="M151" s="13"/>
    </row>
    <row r="152" spans="1:76" s="13" customFormat="1" x14ac:dyDescent="0.35">
      <c r="A152" s="1"/>
      <c r="B152" s="1"/>
      <c r="C152" s="1"/>
      <c r="D152" s="1"/>
      <c r="E152" s="1"/>
      <c r="F152" s="1"/>
      <c r="G152" s="171"/>
      <c r="H152" s="171"/>
      <c r="I152" s="167"/>
      <c r="J152" s="64"/>
      <c r="K152" s="64"/>
      <c r="L152" s="64"/>
      <c r="M152" s="1"/>
      <c r="N152" s="64"/>
      <c r="O152" s="64"/>
      <c r="P152" s="64"/>
      <c r="Q152" s="64"/>
      <c r="R152" s="64"/>
      <c r="S152" s="64"/>
      <c r="T152" s="64"/>
      <c r="U152" s="64"/>
      <c r="V152" s="64"/>
      <c r="W152" s="64"/>
      <c r="X152" s="64"/>
      <c r="Y152" s="64"/>
      <c r="Z152" s="64"/>
      <c r="AA152" s="64"/>
      <c r="AB152" s="64"/>
      <c r="AC152" s="64"/>
      <c r="AD152" s="64"/>
      <c r="AE152" s="64"/>
      <c r="AF152" s="64"/>
      <c r="AG152" s="64"/>
      <c r="AH152" s="64"/>
      <c r="AI152" s="64"/>
      <c r="AJ152" s="64"/>
      <c r="AK152" s="64"/>
      <c r="AL152" s="64"/>
      <c r="AM152" s="64"/>
      <c r="AN152" s="64"/>
      <c r="AO152" s="64"/>
      <c r="AP152" s="64"/>
      <c r="AQ152" s="64"/>
      <c r="AR152" s="64"/>
      <c r="AS152" s="64"/>
      <c r="AT152" s="64"/>
      <c r="AU152" s="64"/>
      <c r="AV152" s="64"/>
      <c r="AW152" s="64"/>
      <c r="AX152" s="64"/>
      <c r="AY152" s="64"/>
      <c r="AZ152" s="64"/>
      <c r="BA152" s="64"/>
      <c r="BB152" s="64"/>
      <c r="BC152" s="64"/>
      <c r="BD152" s="64"/>
      <c r="BE152" s="64"/>
      <c r="BF152" s="64"/>
      <c r="BG152" s="64"/>
      <c r="BH152" s="64"/>
      <c r="BI152" s="64"/>
      <c r="BJ152" s="64"/>
      <c r="BK152" s="64"/>
      <c r="BL152" s="64"/>
      <c r="BM152" s="64"/>
      <c r="BN152" s="64"/>
      <c r="BO152" s="64"/>
      <c r="BP152" s="64"/>
      <c r="BQ152" s="64"/>
      <c r="BR152" s="64"/>
      <c r="BS152" s="64"/>
      <c r="BT152" s="64"/>
      <c r="BU152" s="64"/>
      <c r="BV152" s="64"/>
      <c r="BW152" s="64"/>
      <c r="BX152" s="64"/>
    </row>
  </sheetData>
  <sheetProtection algorithmName="SHA-512" hashValue="NhOWdOGEyo9sbNSeev+uALEuCDq61wDq72N0KYaEUcm13ijBe4sISQacWMERim1Ja4iiJC/zzCt/lZo9jr7urg==" saltValue="LHKVoPHq5I/yWNY3y5bEqA==" spinCount="100000" sheet="1" objects="1" scenarios="1"/>
  <protectedRanges>
    <protectedRange sqref="D15:D16 C13:C16" name="Range1"/>
  </protectedRanges>
  <mergeCells count="6">
    <mergeCell ref="B8:E8"/>
    <mergeCell ref="C3:E3"/>
    <mergeCell ref="B4:E4"/>
    <mergeCell ref="B5:E5"/>
    <mergeCell ref="B6:E6"/>
    <mergeCell ref="B7:E7"/>
  </mergeCells>
  <pageMargins left="0.7" right="0.7" top="0.75" bottom="0.75" header="0.3" footer="0.3"/>
  <pageSetup orientation="portrait" r:id="rId1"/>
  <ignoredErrors>
    <ignoredError sqref="I15 I17" emptyCellReference="1"/>
  </ignoredError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600-000000000000}">
          <x14:formula1>
            <xm:f>Assumptions!$T$3:$T$25</xm:f>
          </x14:formula1>
          <xm:sqref>C13</xm:sqref>
        </x14:dataValidation>
        <x14:dataValidation type="list" allowBlank="1" showInputMessage="1" showErrorMessage="1" xr:uid="{00000000-0002-0000-0600-000002000000}">
          <x14:formula1>
            <xm:f>Assumptions!$U$3:$U$4</xm:f>
          </x14:formula1>
          <xm:sqref>D15:D16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0">
    <tabColor theme="5"/>
  </sheetPr>
  <dimension ref="A1:BX168"/>
  <sheetViews>
    <sheetView zoomScaleNormal="100" zoomScalePageLayoutView="80" workbookViewId="0">
      <selection activeCell="C19" sqref="C19"/>
    </sheetView>
  </sheetViews>
  <sheetFormatPr defaultColWidth="8.7265625" defaultRowHeight="14.5" x14ac:dyDescent="0.35"/>
  <cols>
    <col min="1" max="1" width="3.7265625" style="1" customWidth="1"/>
    <col min="2" max="2" width="73.453125" style="1" customWidth="1"/>
    <col min="3" max="3" width="22.7265625" style="1" customWidth="1"/>
    <col min="4" max="4" width="16.7265625" style="1" customWidth="1"/>
    <col min="5" max="5" width="14.7265625" style="1" customWidth="1"/>
    <col min="6" max="6" width="9.7265625" style="1" customWidth="1"/>
    <col min="7" max="7" width="15.453125" style="1" hidden="1" customWidth="1"/>
    <col min="8" max="8" width="14.453125" style="64" hidden="1" customWidth="1"/>
    <col min="9" max="9" width="12.26953125" style="13" hidden="1" customWidth="1"/>
    <col min="10" max="10" width="22.453125" style="64" customWidth="1"/>
    <col min="11" max="11" width="27.7265625" style="64" hidden="1" customWidth="1"/>
    <col min="12" max="12" width="8" style="64" hidden="1" customWidth="1"/>
    <col min="13" max="13" width="7.26953125" style="64" hidden="1" customWidth="1"/>
    <col min="14" max="16" width="8.453125" style="64" hidden="1" customWidth="1"/>
    <col min="17" max="17" width="26.26953125" style="64" customWidth="1"/>
    <col min="18" max="44" width="8.453125" style="64" customWidth="1"/>
    <col min="45" max="75" width="8.7265625" style="64"/>
    <col min="76" max="16384" width="8.7265625" style="1"/>
  </cols>
  <sheetData>
    <row r="1" spans="1:75" s="66" customFormat="1" ht="24.75" customHeight="1" x14ac:dyDescent="0.35">
      <c r="A1" s="63" t="s">
        <v>31</v>
      </c>
      <c r="B1" s="64"/>
      <c r="C1" s="64"/>
      <c r="D1" s="64"/>
      <c r="E1" s="64"/>
      <c r="H1" s="64"/>
      <c r="I1" s="64" t="s">
        <v>1</v>
      </c>
    </row>
    <row r="2" spans="1:75" s="66" customFormat="1" ht="11.25" customHeight="1" x14ac:dyDescent="0.35">
      <c r="A2" s="63"/>
      <c r="B2" s="64"/>
      <c r="C2" s="64"/>
      <c r="D2" s="64"/>
      <c r="E2" s="64"/>
      <c r="H2" s="64"/>
      <c r="I2" s="64"/>
    </row>
    <row r="3" spans="1:75" s="66" customFormat="1" ht="32.25" customHeight="1" x14ac:dyDescent="0.35">
      <c r="A3" s="185"/>
      <c r="B3" s="61" t="s">
        <v>77</v>
      </c>
      <c r="C3" s="549"/>
      <c r="D3" s="549"/>
      <c r="E3" s="549"/>
      <c r="F3" s="184"/>
      <c r="H3" s="64"/>
      <c r="I3" s="64"/>
    </row>
    <row r="4" spans="1:75" customFormat="1" ht="23.5" x14ac:dyDescent="0.35">
      <c r="A4" s="186"/>
      <c r="B4" s="550" t="s">
        <v>78</v>
      </c>
      <c r="C4" s="550"/>
      <c r="D4" s="550"/>
      <c r="E4" s="550"/>
      <c r="F4" s="187"/>
      <c r="G4" s="66"/>
      <c r="H4" s="64"/>
      <c r="I4" s="64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66"/>
      <c r="AI4" s="66"/>
      <c r="AJ4" s="66"/>
      <c r="AK4" s="66"/>
      <c r="AL4" s="66"/>
      <c r="AM4" s="66"/>
      <c r="AN4" s="66"/>
    </row>
    <row r="5" spans="1:75" customFormat="1" ht="30" customHeight="1" x14ac:dyDescent="0.35">
      <c r="A5" s="186"/>
      <c r="B5" s="551" t="s">
        <v>79</v>
      </c>
      <c r="C5" s="551"/>
      <c r="D5" s="551"/>
      <c r="E5" s="551"/>
      <c r="F5" s="187"/>
      <c r="G5" s="66"/>
      <c r="H5" s="64"/>
      <c r="I5" s="64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66"/>
      <c r="W5" s="66"/>
      <c r="X5" s="66"/>
      <c r="Y5" s="66"/>
      <c r="Z5" s="66"/>
      <c r="AA5" s="66"/>
      <c r="AB5" s="66"/>
      <c r="AC5" s="66"/>
      <c r="AD5" s="66"/>
      <c r="AE5" s="66"/>
      <c r="AF5" s="66"/>
      <c r="AG5" s="66"/>
      <c r="AH5" s="66"/>
      <c r="AI5" s="66"/>
      <c r="AJ5" s="66"/>
      <c r="AK5" s="66"/>
      <c r="AL5" s="66"/>
      <c r="AM5" s="66"/>
      <c r="AN5" s="66"/>
    </row>
    <row r="6" spans="1:75" customFormat="1" ht="29.25" customHeight="1" x14ac:dyDescent="0.35">
      <c r="A6" s="186"/>
      <c r="B6" s="552" t="s">
        <v>80</v>
      </c>
      <c r="C6" s="552"/>
      <c r="D6" s="552"/>
      <c r="E6" s="552"/>
      <c r="F6" s="187"/>
      <c r="G6" s="66"/>
      <c r="H6" s="64"/>
      <c r="I6" s="64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  <c r="AA6" s="66"/>
      <c r="AB6" s="66"/>
      <c r="AC6" s="66"/>
      <c r="AD6" s="66"/>
      <c r="AE6" s="66"/>
      <c r="AF6" s="66"/>
      <c r="AG6" s="66"/>
      <c r="AH6" s="66"/>
      <c r="AI6" s="66"/>
      <c r="AJ6" s="66"/>
      <c r="AK6" s="66"/>
      <c r="AL6" s="66"/>
      <c r="AM6" s="66"/>
      <c r="AN6" s="66"/>
    </row>
    <row r="7" spans="1:75" customFormat="1" ht="27" customHeight="1" x14ac:dyDescent="0.35">
      <c r="A7" s="186"/>
      <c r="B7" s="553" t="s">
        <v>81</v>
      </c>
      <c r="C7" s="553"/>
      <c r="D7" s="553"/>
      <c r="E7" s="553"/>
      <c r="F7" s="187"/>
      <c r="G7" s="66"/>
      <c r="H7" s="64"/>
      <c r="I7" s="64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66"/>
      <c r="Y7" s="66"/>
      <c r="Z7" s="66"/>
      <c r="AA7" s="66"/>
      <c r="AB7" s="66"/>
      <c r="AC7" s="66"/>
      <c r="AD7" s="66"/>
      <c r="AE7" s="66"/>
      <c r="AF7" s="66"/>
      <c r="AG7" s="66"/>
      <c r="AH7" s="66"/>
      <c r="AI7" s="66"/>
      <c r="AJ7" s="66"/>
      <c r="AK7" s="66"/>
      <c r="AL7" s="66"/>
      <c r="AM7" s="66"/>
      <c r="AN7" s="66"/>
    </row>
    <row r="8" spans="1:75" customFormat="1" ht="23.5" x14ac:dyDescent="0.35">
      <c r="A8" s="186"/>
      <c r="B8" s="548" t="s">
        <v>82</v>
      </c>
      <c r="C8" s="548"/>
      <c r="D8" s="548"/>
      <c r="E8" s="548"/>
      <c r="F8" s="187"/>
      <c r="G8" s="66"/>
      <c r="H8" s="64"/>
      <c r="I8" s="64"/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  <c r="U8" s="66"/>
      <c r="V8" s="66"/>
      <c r="W8" s="66"/>
      <c r="X8" s="66"/>
      <c r="Y8" s="66"/>
      <c r="Z8" s="66"/>
      <c r="AA8" s="66"/>
      <c r="AB8" s="66"/>
      <c r="AC8" s="66"/>
      <c r="AD8" s="66"/>
      <c r="AE8" s="66"/>
      <c r="AF8" s="66"/>
      <c r="AG8" s="66"/>
      <c r="AH8" s="66"/>
      <c r="AI8" s="66"/>
      <c r="AJ8" s="66"/>
      <c r="AK8" s="66"/>
      <c r="AL8" s="66"/>
      <c r="AM8" s="66"/>
      <c r="AN8" s="66"/>
    </row>
    <row r="9" spans="1:75" s="66" customFormat="1" ht="15.75" customHeight="1" x14ac:dyDescent="0.35">
      <c r="A9" s="184"/>
      <c r="B9" s="184"/>
      <c r="C9" s="184"/>
      <c r="D9" s="184"/>
      <c r="E9" s="184"/>
      <c r="F9" s="184"/>
      <c r="H9" s="64"/>
      <c r="I9" s="64"/>
    </row>
    <row r="10" spans="1:75" s="66" customFormat="1" ht="15.75" customHeight="1" x14ac:dyDescent="0.35">
      <c r="A10" s="63"/>
      <c r="B10" s="64"/>
      <c r="C10" s="64"/>
      <c r="D10" s="64"/>
      <c r="E10" s="64"/>
      <c r="H10" s="64"/>
      <c r="I10" s="64"/>
      <c r="J10" s="64"/>
      <c r="K10" s="64"/>
    </row>
    <row r="11" spans="1:75" s="13" customFormat="1" ht="15.75" customHeight="1" x14ac:dyDescent="0.35">
      <c r="A11" s="1"/>
      <c r="B11" s="61" t="s">
        <v>83</v>
      </c>
      <c r="C11" s="1"/>
      <c r="D11" s="1"/>
      <c r="E11" s="1"/>
      <c r="F11" s="1"/>
      <c r="G11" s="64"/>
      <c r="H11" s="64"/>
      <c r="I11" s="64"/>
      <c r="J11" s="64"/>
      <c r="K11" s="64"/>
      <c r="L11" s="64"/>
      <c r="M11" s="64"/>
      <c r="N11" s="64"/>
      <c r="O11" s="64"/>
      <c r="P11" s="64"/>
      <c r="Q11" s="64"/>
      <c r="R11" s="64"/>
      <c r="S11" s="64"/>
      <c r="T11" s="64"/>
      <c r="U11" s="64"/>
      <c r="V11" s="64"/>
      <c r="W11" s="64"/>
      <c r="X11" s="64"/>
      <c r="Y11" s="64"/>
      <c r="Z11" s="64"/>
      <c r="AA11" s="64"/>
      <c r="AB11" s="64"/>
      <c r="AC11" s="64"/>
      <c r="AD11" s="64"/>
      <c r="AE11" s="64"/>
      <c r="AF11" s="64"/>
      <c r="AG11" s="64"/>
      <c r="AH11" s="64"/>
      <c r="AI11" s="64"/>
      <c r="AJ11" s="64"/>
      <c r="AK11" s="64"/>
      <c r="AL11" s="64"/>
      <c r="AM11" s="64"/>
      <c r="AN11" s="64"/>
      <c r="AO11" s="64"/>
      <c r="AP11" s="64"/>
      <c r="AQ11" s="64"/>
      <c r="AR11" s="64"/>
      <c r="AS11" s="64"/>
      <c r="AT11" s="64"/>
      <c r="AU11" s="64"/>
      <c r="AV11" s="64"/>
      <c r="AW11" s="64"/>
      <c r="AX11" s="64"/>
      <c r="AY11" s="64"/>
      <c r="AZ11" s="64"/>
      <c r="BA11" s="64"/>
      <c r="BB11" s="64"/>
      <c r="BC11" s="64"/>
      <c r="BD11" s="64"/>
      <c r="BE11" s="64"/>
      <c r="BF11" s="64"/>
      <c r="BG11" s="64"/>
      <c r="BH11" s="64"/>
      <c r="BI11" s="64"/>
      <c r="BJ11" s="64"/>
      <c r="BK11" s="64"/>
      <c r="BL11" s="64"/>
      <c r="BM11" s="64"/>
      <c r="BN11" s="64"/>
      <c r="BO11" s="64"/>
      <c r="BP11" s="64"/>
      <c r="BQ11" s="64"/>
      <c r="BR11" s="64"/>
      <c r="BS11" s="64"/>
      <c r="BT11" s="64"/>
    </row>
    <row r="12" spans="1:75" s="13" customFormat="1" ht="38.25" customHeight="1" x14ac:dyDescent="0.35">
      <c r="A12" s="1"/>
      <c r="B12" s="102" t="s">
        <v>84</v>
      </c>
      <c r="C12" s="102" t="s">
        <v>85</v>
      </c>
      <c r="D12" s="102" t="s">
        <v>86</v>
      </c>
      <c r="E12" s="102" t="s">
        <v>87</v>
      </c>
      <c r="F12" s="1"/>
      <c r="G12" s="115" t="s">
        <v>88</v>
      </c>
      <c r="H12" s="115" t="s">
        <v>89</v>
      </c>
      <c r="I12" s="115" t="s">
        <v>90</v>
      </c>
      <c r="J12" s="64"/>
      <c r="K12" s="64"/>
      <c r="L12" s="64"/>
      <c r="M12" s="64"/>
      <c r="N12" s="64"/>
      <c r="O12" s="64"/>
      <c r="P12" s="64"/>
      <c r="Q12" s="64"/>
      <c r="R12" s="64"/>
      <c r="S12" s="64"/>
      <c r="T12" s="64"/>
      <c r="U12" s="64"/>
      <c r="V12" s="64"/>
      <c r="W12" s="64"/>
      <c r="X12" s="64"/>
      <c r="Y12" s="64"/>
      <c r="Z12" s="64"/>
      <c r="AA12" s="64"/>
      <c r="AB12" s="64"/>
      <c r="AC12" s="64"/>
      <c r="AD12" s="64"/>
      <c r="AE12" s="64"/>
      <c r="AF12" s="64"/>
      <c r="AG12" s="64"/>
      <c r="AH12" s="64"/>
      <c r="AI12" s="64"/>
      <c r="AJ12" s="64"/>
      <c r="AK12" s="64"/>
      <c r="AL12" s="64"/>
      <c r="AM12" s="64"/>
      <c r="AN12" s="64"/>
      <c r="AO12" s="64"/>
      <c r="AP12" s="64"/>
      <c r="AQ12" s="64"/>
      <c r="AR12" s="64"/>
      <c r="AS12" s="64"/>
      <c r="AT12" s="64"/>
      <c r="AU12" s="64"/>
      <c r="AV12" s="64"/>
      <c r="AW12" s="64"/>
      <c r="AX12" s="64"/>
      <c r="AY12" s="64"/>
      <c r="AZ12" s="64"/>
      <c r="BA12" s="64"/>
      <c r="BB12" s="64"/>
      <c r="BC12" s="64"/>
      <c r="BD12" s="64"/>
      <c r="BE12" s="64"/>
      <c r="BF12" s="64"/>
      <c r="BG12" s="64"/>
      <c r="BH12" s="64"/>
      <c r="BI12" s="64"/>
      <c r="BJ12" s="64"/>
      <c r="BK12" s="64"/>
      <c r="BL12" s="64"/>
      <c r="BM12" s="64"/>
      <c r="BN12" s="64"/>
      <c r="BO12" s="64"/>
      <c r="BP12" s="64"/>
      <c r="BQ12" s="64"/>
      <c r="BR12" s="64"/>
      <c r="BS12" s="64"/>
      <c r="BT12" s="64"/>
    </row>
    <row r="13" spans="1:75" x14ac:dyDescent="0.35">
      <c r="B13" s="105" t="s">
        <v>91</v>
      </c>
      <c r="C13" s="509"/>
      <c r="D13" s="510"/>
      <c r="E13" s="106"/>
      <c r="G13" s="64"/>
      <c r="H13" s="117">
        <f>C13</f>
        <v>0</v>
      </c>
      <c r="I13" s="64"/>
      <c r="BU13" s="1"/>
      <c r="BV13" s="1"/>
      <c r="BW13" s="1"/>
    </row>
    <row r="14" spans="1:75" ht="14.65" customHeight="1" x14ac:dyDescent="0.35">
      <c r="B14" s="105" t="s">
        <v>178</v>
      </c>
      <c r="C14" s="509"/>
      <c r="D14" s="510"/>
      <c r="E14" s="106"/>
      <c r="G14" s="64"/>
      <c r="H14" s="117">
        <f t="shared" ref="H14:H16" si="0">C14</f>
        <v>0</v>
      </c>
      <c r="I14" s="64"/>
      <c r="BU14" s="1"/>
      <c r="BV14" s="1"/>
      <c r="BW14" s="1"/>
    </row>
    <row r="15" spans="1:75" x14ac:dyDescent="0.35">
      <c r="B15" s="105" t="s">
        <v>179</v>
      </c>
      <c r="C15" s="522"/>
      <c r="D15" s="510"/>
      <c r="E15" s="106"/>
      <c r="G15" s="64"/>
      <c r="H15" s="117">
        <f t="shared" si="0"/>
        <v>0</v>
      </c>
      <c r="I15" s="64"/>
      <c r="BU15" s="1"/>
      <c r="BV15" s="1"/>
      <c r="BW15" s="1"/>
    </row>
    <row r="16" spans="1:75" x14ac:dyDescent="0.35">
      <c r="B16" s="105" t="s">
        <v>180</v>
      </c>
      <c r="C16" s="522"/>
      <c r="D16" s="510"/>
      <c r="E16" s="106"/>
      <c r="G16" s="64"/>
      <c r="H16" s="117">
        <f t="shared" si="0"/>
        <v>0</v>
      </c>
      <c r="I16" s="64"/>
      <c r="BU16" s="1"/>
      <c r="BV16" s="1"/>
      <c r="BW16" s="1"/>
    </row>
    <row r="17" spans="1:75" x14ac:dyDescent="0.35">
      <c r="B17" s="105" t="s">
        <v>181</v>
      </c>
      <c r="C17" s="522"/>
      <c r="D17" s="510"/>
      <c r="E17" s="106"/>
      <c r="G17" s="64"/>
      <c r="H17" s="117">
        <f>C17</f>
        <v>0</v>
      </c>
      <c r="I17" s="64"/>
      <c r="BU17" s="1"/>
      <c r="BV17" s="1"/>
      <c r="BW17" s="1"/>
    </row>
    <row r="18" spans="1:75" x14ac:dyDescent="0.35">
      <c r="B18" s="105" t="s">
        <v>182</v>
      </c>
      <c r="C18" s="530"/>
      <c r="D18" s="524" t="s">
        <v>94</v>
      </c>
      <c r="E18" s="539">
        <f>IF(D18="Yes",G18," ")</f>
        <v>3.1E-2</v>
      </c>
      <c r="G18" s="135">
        <f>Assumptions!D61</f>
        <v>3.1E-2</v>
      </c>
      <c r="H18" s="135">
        <f t="shared" ref="H18" si="1">IF(D18="Yes",E18,C18)</f>
        <v>3.1E-2</v>
      </c>
      <c r="I18" s="166">
        <f>IF(D18="Yes",IF(E18=0,1,0),IF(AND(D18="No",C18=""),1,0))</f>
        <v>0</v>
      </c>
      <c r="BU18" s="1"/>
      <c r="BV18" s="1"/>
      <c r="BW18" s="1"/>
    </row>
    <row r="19" spans="1:75" x14ac:dyDescent="0.35">
      <c r="B19" s="105" t="s">
        <v>183</v>
      </c>
      <c r="C19" s="522"/>
      <c r="D19" s="510"/>
      <c r="E19" s="106"/>
      <c r="G19" s="64"/>
      <c r="H19" s="117">
        <f>C19</f>
        <v>0</v>
      </c>
      <c r="I19" s="64"/>
      <c r="BU19" s="1"/>
      <c r="BV19" s="1"/>
      <c r="BW19" s="1"/>
    </row>
    <row r="20" spans="1:75" x14ac:dyDescent="0.35">
      <c r="B20" s="105" t="s">
        <v>184</v>
      </c>
      <c r="C20" s="538"/>
      <c r="D20" s="110" t="s">
        <v>94</v>
      </c>
      <c r="E20" s="130">
        <f t="shared" ref="E20" si="2">IF(D20="Yes",G20," ")</f>
        <v>0.15</v>
      </c>
      <c r="G20" s="136">
        <f>Assumptions!D64</f>
        <v>0.15</v>
      </c>
      <c r="H20" s="136">
        <f>IF(D20="Yes",E20,C20)</f>
        <v>0.15</v>
      </c>
      <c r="I20" s="166">
        <f>IF(D20="Yes",IF(E20=0,1,0),IF(AND(D20="No",C20=""),1,0))</f>
        <v>0</v>
      </c>
      <c r="BU20" s="1"/>
      <c r="BV20" s="1"/>
      <c r="BW20" s="1"/>
    </row>
    <row r="21" spans="1:75" x14ac:dyDescent="0.35">
      <c r="B21" s="105" t="s">
        <v>185</v>
      </c>
      <c r="C21" s="531"/>
      <c r="D21" s="524" t="s">
        <v>94</v>
      </c>
      <c r="E21" s="421">
        <f t="shared" ref="E21" si="3">IF(D21="Yes",G21," ")</f>
        <v>1</v>
      </c>
      <c r="G21" s="439">
        <v>1</v>
      </c>
      <c r="H21" s="439">
        <f>IF(D21="Yes",E21,C21)</f>
        <v>1</v>
      </c>
      <c r="I21" s="166">
        <f>IF(D21="Yes",IF(E21=0,1,0),IF(AND(D21="No",C21=""),1,0))</f>
        <v>0</v>
      </c>
      <c r="BU21" s="1"/>
      <c r="BV21" s="1"/>
      <c r="BW21" s="1"/>
    </row>
    <row r="22" spans="1:75" x14ac:dyDescent="0.35">
      <c r="B22" s="100"/>
      <c r="C22" s="101"/>
      <c r="D22" s="101"/>
      <c r="E22" s="101"/>
      <c r="G22" s="64"/>
      <c r="H22" s="104"/>
      <c r="I22" s="64"/>
      <c r="BU22" s="1"/>
      <c r="BV22" s="1"/>
      <c r="BW22" s="1"/>
    </row>
    <row r="23" spans="1:75" x14ac:dyDescent="0.35">
      <c r="A23" s="64"/>
      <c r="B23" s="103"/>
      <c r="C23" s="104"/>
      <c r="D23" s="104"/>
      <c r="E23" s="104"/>
      <c r="F23" s="64"/>
      <c r="G23" s="64"/>
      <c r="H23" s="104"/>
      <c r="I23" s="64"/>
      <c r="BU23" s="1"/>
      <c r="BV23" s="1"/>
      <c r="BW23" s="1"/>
    </row>
    <row r="24" spans="1:75" s="64" customFormat="1" ht="15.5" x14ac:dyDescent="0.35">
      <c r="A24" s="1"/>
      <c r="B24" s="61" t="s">
        <v>96</v>
      </c>
      <c r="C24" s="1"/>
      <c r="D24" s="1"/>
      <c r="E24" s="1"/>
      <c r="F24" s="1"/>
    </row>
    <row r="25" spans="1:75" x14ac:dyDescent="0.35">
      <c r="G25" s="64"/>
      <c r="I25" s="64"/>
      <c r="BU25" s="1"/>
      <c r="BV25" s="1"/>
      <c r="BW25" s="1"/>
    </row>
    <row r="26" spans="1:75" x14ac:dyDescent="0.35">
      <c r="B26" s="102" t="s">
        <v>84</v>
      </c>
      <c r="C26" s="102" t="s">
        <v>85</v>
      </c>
      <c r="D26" s="102"/>
      <c r="E26" s="102" t="s">
        <v>1</v>
      </c>
      <c r="G26" s="64"/>
      <c r="H26" s="115"/>
      <c r="I26" s="64"/>
      <c r="BU26" s="1"/>
      <c r="BV26" s="1"/>
      <c r="BW26" s="1"/>
    </row>
    <row r="27" spans="1:75" x14ac:dyDescent="0.35">
      <c r="B27" s="105" t="s">
        <v>186</v>
      </c>
      <c r="C27" s="421">
        <f>Assumptions!D65</f>
        <v>6</v>
      </c>
      <c r="G27" s="138" t="s">
        <v>1</v>
      </c>
      <c r="H27" s="134">
        <f>C27</f>
        <v>6</v>
      </c>
      <c r="I27" s="166" t="s">
        <v>1</v>
      </c>
      <c r="BU27" s="1"/>
      <c r="BV27" s="1"/>
      <c r="BW27" s="1"/>
    </row>
    <row r="28" spans="1:75" x14ac:dyDescent="0.35">
      <c r="B28" s="105" t="s">
        <v>187</v>
      </c>
      <c r="C28" s="297">
        <f>Assumptions!D62</f>
        <v>0.39</v>
      </c>
      <c r="G28" s="138"/>
      <c r="H28" s="400">
        <f>C28</f>
        <v>0.39</v>
      </c>
      <c r="I28" s="166"/>
      <c r="BU28" s="1"/>
      <c r="BV28" s="1"/>
      <c r="BW28" s="1"/>
    </row>
    <row r="29" spans="1:75" x14ac:dyDescent="0.35">
      <c r="B29" s="105" t="s">
        <v>188</v>
      </c>
      <c r="C29" s="423">
        <f>Assumptions!D63</f>
        <v>0.55000000000000004</v>
      </c>
      <c r="G29" s="138"/>
      <c r="H29" s="400">
        <f>C29</f>
        <v>0.55000000000000004</v>
      </c>
      <c r="I29" s="166"/>
      <c r="BU29" s="1"/>
      <c r="BV29" s="1"/>
      <c r="BW29" s="1"/>
    </row>
    <row r="30" spans="1:75" x14ac:dyDescent="0.35">
      <c r="B30" s="105" t="s">
        <v>189</v>
      </c>
      <c r="C30" s="422">
        <f>Assumptions!D66</f>
        <v>0.5</v>
      </c>
      <c r="G30" s="138"/>
      <c r="H30" s="138">
        <f t="shared" ref="H30:H36" si="4">C30</f>
        <v>0.5</v>
      </c>
      <c r="I30" s="166"/>
      <c r="BU30" s="1"/>
      <c r="BV30" s="1"/>
      <c r="BW30" s="1"/>
    </row>
    <row r="31" spans="1:75" x14ac:dyDescent="0.35">
      <c r="B31" s="105" t="s">
        <v>190</v>
      </c>
      <c r="C31" s="424">
        <f>(H17*H28*H29)/H27</f>
        <v>0</v>
      </c>
      <c r="E31" s="18" t="s">
        <v>1</v>
      </c>
      <c r="G31" s="138"/>
      <c r="H31" s="134">
        <f t="shared" si="4"/>
        <v>0</v>
      </c>
      <c r="I31" s="166"/>
      <c r="BU31" s="1"/>
      <c r="BV31" s="1"/>
      <c r="BW31" s="1"/>
    </row>
    <row r="32" spans="1:75" x14ac:dyDescent="0.35">
      <c r="B32" s="105" t="s">
        <v>191</v>
      </c>
      <c r="C32" s="424" t="e">
        <f>VLOOKUP(H14,Assumptions!B68:D79,3, FALSE)*H15*H30</f>
        <v>#N/A</v>
      </c>
      <c r="E32" s="18" t="s">
        <v>1</v>
      </c>
      <c r="G32" s="138"/>
      <c r="H32" s="134" t="e">
        <f t="shared" si="4"/>
        <v>#N/A</v>
      </c>
      <c r="I32" s="166"/>
      <c r="BU32" s="1"/>
      <c r="BV32" s="1"/>
      <c r="BW32" s="1"/>
    </row>
    <row r="33" spans="1:75" x14ac:dyDescent="0.35">
      <c r="B33" s="105" t="s">
        <v>192</v>
      </c>
      <c r="C33" s="425" t="e">
        <f>H31/H32</f>
        <v>#N/A</v>
      </c>
      <c r="E33" s="18"/>
      <c r="G33" s="138"/>
      <c r="H33" s="139" t="e">
        <f t="shared" si="4"/>
        <v>#N/A</v>
      </c>
      <c r="I33" s="166"/>
      <c r="BU33" s="1"/>
      <c r="BV33" s="1"/>
      <c r="BW33" s="1"/>
    </row>
    <row r="34" spans="1:75" x14ac:dyDescent="0.35">
      <c r="B34" s="105" t="s">
        <v>193</v>
      </c>
      <c r="C34" s="425" t="e">
        <f>VLOOKUP(H33,Assumptions!B81:D86,3,TRUE)</f>
        <v>#N/A</v>
      </c>
      <c r="E34" s="18"/>
      <c r="G34" s="138"/>
      <c r="H34" s="134" t="e">
        <f>C34</f>
        <v>#N/A</v>
      </c>
      <c r="I34" s="166"/>
      <c r="BU34" s="1"/>
      <c r="BV34" s="1"/>
      <c r="BW34" s="1"/>
    </row>
    <row r="35" spans="1:75" x14ac:dyDescent="0.35">
      <c r="B35" s="105" t="s">
        <v>194</v>
      </c>
      <c r="C35" s="331" t="e">
        <f>VLOOKUP(H34,Assumptions!B88:D93,3,FALSE)</f>
        <v>#N/A</v>
      </c>
      <c r="E35" s="18"/>
      <c r="G35" s="138"/>
      <c r="H35" s="134" t="e">
        <f t="shared" si="4"/>
        <v>#N/A</v>
      </c>
      <c r="I35" s="166"/>
      <c r="BU35" s="1"/>
      <c r="BV35" s="1"/>
      <c r="BW35" s="1"/>
    </row>
    <row r="36" spans="1:75" x14ac:dyDescent="0.35">
      <c r="B36" s="105" t="s">
        <v>195</v>
      </c>
      <c r="C36" s="331" t="e">
        <f>(H35*H31*H27*H16)/3600</f>
        <v>#N/A</v>
      </c>
      <c r="E36" s="18" t="s">
        <v>1</v>
      </c>
      <c r="G36" s="138"/>
      <c r="H36" s="138" t="e">
        <f t="shared" si="4"/>
        <v>#N/A</v>
      </c>
      <c r="I36" s="166"/>
      <c r="BU36" s="1"/>
      <c r="BV36" s="1"/>
      <c r="BW36" s="1"/>
    </row>
    <row r="37" spans="1:75" x14ac:dyDescent="0.35">
      <c r="B37" s="105" t="s">
        <v>196</v>
      </c>
      <c r="C37" s="424" t="e">
        <f>VLOOKUP(H14,Assumptions!B68:D79,3, FALSE)*(H15+H21)*H30</f>
        <v>#N/A</v>
      </c>
      <c r="E37" s="18" t="s">
        <v>1</v>
      </c>
      <c r="G37" s="138"/>
      <c r="H37" s="134" t="e">
        <f t="shared" ref="H37:H38" si="5">C37</f>
        <v>#N/A</v>
      </c>
      <c r="I37" s="166"/>
      <c r="BU37" s="1"/>
      <c r="BV37" s="1"/>
      <c r="BW37" s="1"/>
    </row>
    <row r="38" spans="1:75" x14ac:dyDescent="0.35">
      <c r="B38" s="105" t="s">
        <v>197</v>
      </c>
      <c r="C38" s="425" t="e">
        <f>H31/H37</f>
        <v>#N/A</v>
      </c>
      <c r="E38" s="18"/>
      <c r="G38" s="138"/>
      <c r="H38" s="139" t="e">
        <f t="shared" si="5"/>
        <v>#N/A</v>
      </c>
      <c r="I38" s="166"/>
      <c r="BU38" s="1"/>
      <c r="BV38" s="1"/>
      <c r="BW38" s="1"/>
    </row>
    <row r="39" spans="1:75" x14ac:dyDescent="0.35">
      <c r="B39" s="105" t="s">
        <v>198</v>
      </c>
      <c r="C39" s="425" t="e">
        <f>VLOOKUP(H38,Assumptions!B81:D86,3,TRUE)</f>
        <v>#N/A</v>
      </c>
      <c r="E39" s="18"/>
      <c r="G39" s="138"/>
      <c r="H39" s="134" t="e">
        <f>C39</f>
        <v>#N/A</v>
      </c>
      <c r="I39" s="166"/>
      <c r="BU39" s="1"/>
      <c r="BV39" s="1"/>
      <c r="BW39" s="1"/>
    </row>
    <row r="40" spans="1:75" x14ac:dyDescent="0.35">
      <c r="B40" s="105" t="s">
        <v>199</v>
      </c>
      <c r="C40" s="331" t="e">
        <f>VLOOKUP(H39,Assumptions!B88:D93,3,FALSE)</f>
        <v>#N/A</v>
      </c>
      <c r="E40" s="18"/>
      <c r="G40" s="138"/>
      <c r="H40" s="134" t="e">
        <f t="shared" ref="H40:H41" si="6">C40</f>
        <v>#N/A</v>
      </c>
      <c r="I40" s="166"/>
      <c r="BU40" s="1"/>
      <c r="BV40" s="1"/>
      <c r="BW40" s="1"/>
    </row>
    <row r="41" spans="1:75" x14ac:dyDescent="0.35">
      <c r="B41" s="105" t="s">
        <v>200</v>
      </c>
      <c r="C41" s="331" t="e">
        <f>(H40*H31*H27*H16)/3600</f>
        <v>#N/A</v>
      </c>
      <c r="E41" s="18" t="s">
        <v>1</v>
      </c>
      <c r="G41" s="138"/>
      <c r="H41" s="138" t="e">
        <f t="shared" si="6"/>
        <v>#N/A</v>
      </c>
      <c r="I41" s="166"/>
      <c r="BU41" s="1"/>
      <c r="BV41" s="1"/>
      <c r="BW41" s="1"/>
    </row>
    <row r="42" spans="1:75" x14ac:dyDescent="0.35">
      <c r="B42" s="44"/>
      <c r="C42" s="62"/>
      <c r="G42" s="64"/>
      <c r="H42" s="116"/>
      <c r="I42" s="64"/>
      <c r="BU42" s="1"/>
      <c r="BV42" s="1"/>
      <c r="BW42" s="1"/>
    </row>
    <row r="43" spans="1:75" x14ac:dyDescent="0.35">
      <c r="A43" s="64"/>
      <c r="B43" s="64"/>
      <c r="C43" s="64"/>
      <c r="D43" s="64"/>
      <c r="E43" s="64"/>
      <c r="F43" s="64"/>
      <c r="G43" s="64"/>
      <c r="I43" s="64"/>
      <c r="BU43" s="1"/>
      <c r="BV43" s="1"/>
      <c r="BW43" s="1"/>
    </row>
    <row r="44" spans="1:75" ht="15.5" x14ac:dyDescent="0.35">
      <c r="B44" s="61" t="s">
        <v>99</v>
      </c>
      <c r="G44" s="64"/>
      <c r="I44" s="64"/>
      <c r="BU44" s="1"/>
      <c r="BV44" s="1"/>
      <c r="BW44" s="1"/>
    </row>
    <row r="45" spans="1:75" s="64" customFormat="1" x14ac:dyDescent="0.35">
      <c r="A45" s="1"/>
      <c r="B45" s="1"/>
      <c r="C45" s="1"/>
      <c r="D45" s="1"/>
      <c r="E45" s="1"/>
      <c r="F45" s="1"/>
      <c r="P45" s="65"/>
      <c r="Q45" s="65"/>
    </row>
    <row r="46" spans="1:75" s="12" customFormat="1" x14ac:dyDescent="0.35">
      <c r="A46" s="1"/>
      <c r="B46" s="102" t="s">
        <v>84</v>
      </c>
      <c r="C46" s="102" t="s">
        <v>85</v>
      </c>
      <c r="D46" s="1"/>
      <c r="E46" s="1"/>
      <c r="F46" s="1"/>
      <c r="G46" s="64"/>
      <c r="H46" s="115"/>
      <c r="I46" s="64"/>
      <c r="J46" s="64"/>
      <c r="K46" s="64" t="s">
        <v>128</v>
      </c>
      <c r="L46" s="64"/>
      <c r="M46" s="64"/>
      <c r="N46" s="64"/>
      <c r="O46" s="64"/>
      <c r="P46" s="65"/>
      <c r="Q46" s="65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4"/>
      <c r="AC46" s="64"/>
      <c r="AD46" s="64"/>
      <c r="AE46" s="64"/>
      <c r="AF46" s="64"/>
      <c r="AG46" s="64"/>
      <c r="AH46" s="64"/>
      <c r="AI46" s="64"/>
      <c r="AJ46" s="64"/>
      <c r="AK46" s="64"/>
      <c r="AL46" s="64"/>
      <c r="AM46" s="64"/>
      <c r="AN46" s="64"/>
      <c r="AO46" s="64"/>
      <c r="AP46" s="64"/>
      <c r="AQ46" s="64"/>
      <c r="AR46" s="64"/>
      <c r="AS46" s="64"/>
      <c r="AT46" s="64"/>
      <c r="AU46" s="64"/>
      <c r="AV46" s="64"/>
      <c r="AW46" s="64"/>
      <c r="AX46" s="64"/>
      <c r="AY46" s="64"/>
      <c r="AZ46" s="64"/>
      <c r="BA46" s="64"/>
      <c r="BB46" s="64"/>
      <c r="BC46" s="64"/>
      <c r="BD46" s="64"/>
      <c r="BE46" s="64"/>
      <c r="BF46" s="64"/>
      <c r="BG46" s="64"/>
      <c r="BH46" s="64"/>
      <c r="BI46" s="64"/>
      <c r="BJ46" s="64"/>
      <c r="BK46" s="64"/>
      <c r="BL46" s="64"/>
      <c r="BM46" s="64"/>
      <c r="BN46" s="64"/>
      <c r="BO46" s="64"/>
      <c r="BP46" s="64"/>
      <c r="BQ46" s="64"/>
      <c r="BR46" s="64"/>
      <c r="BS46" s="64"/>
      <c r="BT46" s="64"/>
    </row>
    <row r="47" spans="1:75" s="12" customFormat="1" x14ac:dyDescent="0.35">
      <c r="A47" s="1"/>
      <c r="B47" s="105" t="s">
        <v>201</v>
      </c>
      <c r="C47" s="108">
        <f>IF($H$13&lt;2030,FORECAST($H$13,N48:O48,$N$47:$O$47),FORECAST($H$13,O48:P48,$O$47:$P$47))</f>
        <v>137661.83459867601</v>
      </c>
      <c r="D47" s="1"/>
      <c r="E47" s="1"/>
      <c r="F47" s="1"/>
      <c r="G47" s="64"/>
      <c r="H47" s="120">
        <f>C47</f>
        <v>137661.83459867601</v>
      </c>
      <c r="I47" s="64"/>
      <c r="J47" s="64"/>
      <c r="K47" s="56" t="s">
        <v>100</v>
      </c>
      <c r="L47" s="57" t="s">
        <v>150</v>
      </c>
      <c r="M47" s="57" t="s">
        <v>151</v>
      </c>
      <c r="N47" s="58">
        <v>2018</v>
      </c>
      <c r="O47" s="59">
        <v>2030</v>
      </c>
      <c r="P47" s="59">
        <v>2040</v>
      </c>
      <c r="Q47" s="65"/>
      <c r="R47" s="64"/>
      <c r="S47" s="64"/>
      <c r="T47" s="64"/>
      <c r="U47" s="64"/>
      <c r="V47" s="64"/>
      <c r="W47" s="64"/>
      <c r="X47" s="64"/>
      <c r="Y47" s="64"/>
      <c r="Z47" s="64"/>
      <c r="AA47" s="64"/>
      <c r="AB47" s="64"/>
      <c r="AC47" s="64"/>
      <c r="AD47" s="64"/>
      <c r="AE47" s="64"/>
      <c r="AF47" s="64"/>
      <c r="AG47" s="64"/>
      <c r="AH47" s="64"/>
      <c r="AI47" s="64"/>
      <c r="AJ47" s="64"/>
      <c r="AK47" s="64"/>
      <c r="AL47" s="64"/>
      <c r="AM47" s="64"/>
      <c r="AN47" s="64"/>
      <c r="AO47" s="64"/>
      <c r="AP47" s="64"/>
      <c r="AQ47" s="64"/>
      <c r="AR47" s="64"/>
      <c r="AS47" s="64"/>
      <c r="AT47" s="64"/>
      <c r="AU47" s="64"/>
      <c r="AV47" s="64"/>
      <c r="AW47" s="64"/>
      <c r="AX47" s="64"/>
      <c r="AY47" s="64"/>
      <c r="AZ47" s="64"/>
      <c r="BA47" s="64"/>
      <c r="BB47" s="64"/>
      <c r="BC47" s="64"/>
      <c r="BD47" s="64"/>
      <c r="BE47" s="64"/>
      <c r="BF47" s="64"/>
      <c r="BG47" s="64"/>
      <c r="BH47" s="64"/>
      <c r="BI47" s="64"/>
      <c r="BJ47" s="64"/>
      <c r="BK47" s="64"/>
      <c r="BL47" s="64"/>
      <c r="BM47" s="64"/>
      <c r="BN47" s="64"/>
      <c r="BO47" s="64"/>
      <c r="BP47" s="64"/>
      <c r="BQ47" s="64"/>
      <c r="BR47" s="64"/>
      <c r="BS47" s="64"/>
      <c r="BT47" s="64"/>
    </row>
    <row r="48" spans="1:75" s="12" customFormat="1" x14ac:dyDescent="0.35">
      <c r="A48" s="1"/>
      <c r="B48" s="105" t="s">
        <v>202</v>
      </c>
      <c r="C48" s="108">
        <f>IF($H$13&lt;2030,FORECAST($H$13,N49:O49,$N$47:$O$47),FORECAST($H$13,O49:P49,$O$47:$P$47))</f>
        <v>832.86673534102829</v>
      </c>
      <c r="D48" s="1"/>
      <c r="E48" s="1"/>
      <c r="F48" s="1"/>
      <c r="G48" s="64"/>
      <c r="H48" s="120">
        <f t="shared" ref="H48:H51" si="7">C48</f>
        <v>832.86673534102829</v>
      </c>
      <c r="I48" s="64"/>
      <c r="J48" s="64"/>
      <c r="K48" s="53" t="s">
        <v>203</v>
      </c>
      <c r="L48" s="54" t="s">
        <v>106</v>
      </c>
      <c r="M48" s="54" t="s">
        <v>204</v>
      </c>
      <c r="N48" s="178">
        <f>($H$18*N58)+((1-$H$18)*N53)</f>
        <v>3539.2830664485982</v>
      </c>
      <c r="O48" s="179">
        <f>($H$18*O58)+((1-$H$18)*O53)</f>
        <v>2741.7257728971963</v>
      </c>
      <c r="P48" s="239">
        <f>($H$18*P58)+((1-$H$18)*P53)</f>
        <v>2480.8633306542056</v>
      </c>
      <c r="Q48" s="65"/>
      <c r="R48" s="64"/>
      <c r="S48" s="64"/>
      <c r="T48" s="64"/>
      <c r="U48" s="64"/>
      <c r="V48" s="64"/>
      <c r="W48" s="64"/>
      <c r="X48" s="64"/>
      <c r="Y48" s="64"/>
      <c r="Z48" s="64"/>
      <c r="AA48" s="64"/>
      <c r="AB48" s="64"/>
      <c r="AC48" s="64"/>
      <c r="AD48" s="64"/>
      <c r="AE48" s="64"/>
      <c r="AF48" s="64"/>
      <c r="AG48" s="64"/>
      <c r="AH48" s="64"/>
      <c r="AI48" s="64"/>
      <c r="AJ48" s="64"/>
      <c r="AK48" s="64"/>
      <c r="AL48" s="64"/>
      <c r="AM48" s="64"/>
      <c r="AN48" s="64"/>
      <c r="AO48" s="64"/>
      <c r="AP48" s="64"/>
      <c r="AQ48" s="64"/>
      <c r="AR48" s="64"/>
      <c r="AS48" s="64"/>
      <c r="AT48" s="64"/>
      <c r="AU48" s="64"/>
      <c r="AV48" s="64"/>
      <c r="AW48" s="64"/>
      <c r="AX48" s="64"/>
      <c r="AY48" s="64"/>
      <c r="AZ48" s="64"/>
      <c r="BA48" s="64"/>
      <c r="BB48" s="64"/>
      <c r="BC48" s="64"/>
      <c r="BD48" s="64"/>
      <c r="BE48" s="64"/>
      <c r="BF48" s="64"/>
      <c r="BG48" s="64"/>
      <c r="BH48" s="64"/>
      <c r="BI48" s="64"/>
      <c r="BJ48" s="64"/>
      <c r="BK48" s="64"/>
      <c r="BL48" s="64"/>
      <c r="BM48" s="64"/>
      <c r="BN48" s="64"/>
      <c r="BO48" s="64"/>
      <c r="BP48" s="64"/>
      <c r="BQ48" s="64"/>
      <c r="BR48" s="64"/>
      <c r="BS48" s="64"/>
      <c r="BT48" s="64"/>
    </row>
    <row r="49" spans="1:76" s="12" customFormat="1" x14ac:dyDescent="0.35">
      <c r="A49" s="1"/>
      <c r="B49" s="105" t="s">
        <v>205</v>
      </c>
      <c r="C49" s="108">
        <f>IF($H$13&lt;2030,FORECAST($H$13,N50:O50,$N$47:$O$47),FORECAST($H$13,O50:P50,$O$47:$P$47))</f>
        <v>15.337278474951868</v>
      </c>
      <c r="D49" s="1"/>
      <c r="E49" s="1"/>
      <c r="F49" s="1"/>
      <c r="G49" s="64"/>
      <c r="H49" s="120">
        <f t="shared" si="7"/>
        <v>15.337278474951868</v>
      </c>
      <c r="I49" s="64"/>
      <c r="J49" s="64"/>
      <c r="K49" s="48" t="s">
        <v>203</v>
      </c>
      <c r="L49" s="45" t="s">
        <v>109</v>
      </c>
      <c r="M49" s="45" t="s">
        <v>204</v>
      </c>
      <c r="N49" s="180">
        <f t="shared" ref="N49:P52" si="8">($H$18*N59)+((1-$H$18)*N54)</f>
        <v>8.3770246108411222</v>
      </c>
      <c r="O49" s="181">
        <f t="shared" si="8"/>
        <v>3.4742116629906539</v>
      </c>
      <c r="P49" s="190">
        <f t="shared" si="8"/>
        <v>1.9305334042990654</v>
      </c>
      <c r="Q49" s="65"/>
      <c r="R49" s="64"/>
      <c r="S49" s="64"/>
      <c r="T49" s="64"/>
      <c r="U49" s="64"/>
      <c r="V49" s="64"/>
      <c r="W49" s="64"/>
      <c r="X49" s="64"/>
      <c r="Y49" s="64"/>
      <c r="Z49" s="64"/>
      <c r="AA49" s="64"/>
      <c r="AB49" s="64"/>
      <c r="AC49" s="64"/>
      <c r="AD49" s="64"/>
      <c r="AE49" s="64"/>
      <c r="AF49" s="64"/>
      <c r="AG49" s="64"/>
      <c r="AH49" s="64"/>
      <c r="AI49" s="64"/>
      <c r="AJ49" s="64"/>
      <c r="AK49" s="64"/>
      <c r="AL49" s="64"/>
      <c r="AM49" s="64"/>
      <c r="AN49" s="64"/>
      <c r="AO49" s="64"/>
      <c r="AP49" s="64"/>
      <c r="AQ49" s="64"/>
      <c r="AR49" s="64"/>
      <c r="AS49" s="64"/>
      <c r="AT49" s="64"/>
      <c r="AU49" s="64"/>
      <c r="AV49" s="64"/>
      <c r="AW49" s="64"/>
      <c r="AX49" s="64"/>
      <c r="AY49" s="64"/>
      <c r="AZ49" s="64"/>
      <c r="BA49" s="64"/>
      <c r="BB49" s="64"/>
      <c r="BC49" s="64"/>
      <c r="BD49" s="64"/>
      <c r="BE49" s="64"/>
      <c r="BF49" s="64"/>
      <c r="BG49" s="64"/>
      <c r="BH49" s="64"/>
      <c r="BI49" s="64"/>
      <c r="BJ49" s="64"/>
      <c r="BK49" s="64"/>
      <c r="BL49" s="64"/>
      <c r="BM49" s="64"/>
      <c r="BN49" s="64"/>
      <c r="BO49" s="64"/>
      <c r="BP49" s="64"/>
      <c r="BQ49" s="64"/>
      <c r="BR49" s="64"/>
      <c r="BS49" s="64"/>
      <c r="BT49" s="64"/>
    </row>
    <row r="50" spans="1:76" s="12" customFormat="1" x14ac:dyDescent="0.35">
      <c r="A50" s="1"/>
      <c r="B50" s="105" t="s">
        <v>206</v>
      </c>
      <c r="C50" s="108">
        <f>IF($H$13&lt;2030,FORECAST($H$13,N51:O51,$N$47:$O$47),FORECAST($H$13,O51:P51,$O$47:$P$47))</f>
        <v>202.6400185434938</v>
      </c>
      <c r="D50" s="1"/>
      <c r="E50" s="1"/>
      <c r="F50" s="1"/>
      <c r="G50" s="64"/>
      <c r="H50" s="120">
        <f t="shared" si="7"/>
        <v>202.6400185434938</v>
      </c>
      <c r="I50" s="64"/>
      <c r="J50" s="64"/>
      <c r="K50" s="48" t="s">
        <v>203</v>
      </c>
      <c r="L50" s="45" t="s">
        <v>111</v>
      </c>
      <c r="M50" s="45" t="s">
        <v>204</v>
      </c>
      <c r="N50" s="180">
        <f t="shared" si="8"/>
        <v>0.1179213595271028</v>
      </c>
      <c r="O50" s="181">
        <f t="shared" si="8"/>
        <v>2.7419731486915885E-2</v>
      </c>
      <c r="P50" s="190">
        <f t="shared" si="8"/>
        <v>1.5945421758130841E-2</v>
      </c>
      <c r="Q50" s="65"/>
      <c r="R50" s="64"/>
      <c r="S50" s="64"/>
      <c r="T50" s="64"/>
      <c r="U50" s="64"/>
      <c r="V50" s="64"/>
      <c r="W50" s="64"/>
      <c r="X50" s="64"/>
      <c r="Y50" s="64"/>
      <c r="Z50" s="64"/>
      <c r="AA50" s="64"/>
      <c r="AB50" s="64"/>
      <c r="AC50" s="64"/>
      <c r="AD50" s="64"/>
      <c r="AE50" s="64"/>
      <c r="AF50" s="64"/>
      <c r="AG50" s="64"/>
      <c r="AH50" s="64"/>
      <c r="AI50" s="64"/>
      <c r="AJ50" s="64"/>
      <c r="AK50" s="64"/>
      <c r="AL50" s="64"/>
      <c r="AM50" s="64"/>
      <c r="AN50" s="64"/>
      <c r="AO50" s="64"/>
      <c r="AP50" s="64"/>
      <c r="AQ50" s="64"/>
      <c r="AR50" s="64"/>
      <c r="AS50" s="64"/>
      <c r="AT50" s="64"/>
      <c r="AU50" s="64"/>
      <c r="AV50" s="64"/>
      <c r="AW50" s="64"/>
      <c r="AX50" s="64"/>
      <c r="AY50" s="64"/>
      <c r="AZ50" s="64"/>
      <c r="BA50" s="64"/>
      <c r="BB50" s="64"/>
      <c r="BC50" s="64"/>
      <c r="BD50" s="64"/>
      <c r="BE50" s="64"/>
      <c r="BF50" s="64"/>
      <c r="BG50" s="64"/>
      <c r="BH50" s="64"/>
      <c r="BI50" s="64"/>
      <c r="BJ50" s="64"/>
      <c r="BK50" s="64"/>
      <c r="BL50" s="64"/>
      <c r="BM50" s="64"/>
      <c r="BN50" s="64"/>
      <c r="BO50" s="64"/>
      <c r="BP50" s="64"/>
      <c r="BQ50" s="64"/>
      <c r="BR50" s="64"/>
      <c r="BS50" s="64"/>
      <c r="BT50" s="64"/>
    </row>
    <row r="51" spans="1:76" s="12" customFormat="1" x14ac:dyDescent="0.35">
      <c r="A51" s="1"/>
      <c r="B51" s="105" t="s">
        <v>207</v>
      </c>
      <c r="C51" s="108">
        <f>IF($H$13&lt;2030,FORECAST($H$13,N52:O52,$N$47:$O$47),FORECAST($H$13,O52:P52,$O$47:$P$47))</f>
        <v>105.2125383478447</v>
      </c>
      <c r="D51" s="1"/>
      <c r="E51" s="1"/>
      <c r="F51" s="1"/>
      <c r="G51" s="64"/>
      <c r="H51" s="120">
        <f t="shared" si="7"/>
        <v>105.2125383478447</v>
      </c>
      <c r="I51" s="64"/>
      <c r="J51" s="64"/>
      <c r="K51" s="48" t="s">
        <v>203</v>
      </c>
      <c r="L51" s="45" t="s">
        <v>113</v>
      </c>
      <c r="M51" s="45" t="s">
        <v>204</v>
      </c>
      <c r="N51" s="180">
        <f t="shared" si="8"/>
        <v>3.0902450626542057</v>
      </c>
      <c r="O51" s="181">
        <f t="shared" si="8"/>
        <v>1.9036259933925233</v>
      </c>
      <c r="P51" s="190">
        <f t="shared" si="8"/>
        <v>1.7856917459850465</v>
      </c>
      <c r="Q51" s="65"/>
      <c r="R51" s="64"/>
      <c r="S51" s="64"/>
      <c r="T51" s="64"/>
      <c r="U51" s="64"/>
      <c r="V51" s="64"/>
      <c r="W51" s="64"/>
      <c r="X51" s="64"/>
      <c r="Y51" s="64"/>
      <c r="Z51" s="64"/>
      <c r="AA51" s="64"/>
      <c r="AB51" s="64"/>
      <c r="AC51" s="64"/>
      <c r="AD51" s="64"/>
      <c r="AE51" s="64"/>
      <c r="AF51" s="64"/>
      <c r="AG51" s="64"/>
      <c r="AH51" s="64"/>
      <c r="AI51" s="64"/>
      <c r="AJ51" s="64"/>
      <c r="AK51" s="64"/>
      <c r="AL51" s="64"/>
      <c r="AM51" s="64"/>
      <c r="AN51" s="64"/>
      <c r="AO51" s="64"/>
      <c r="AP51" s="64"/>
      <c r="AQ51" s="64"/>
      <c r="AR51" s="64"/>
      <c r="AS51" s="64"/>
      <c r="AT51" s="64"/>
      <c r="AU51" s="64"/>
      <c r="AV51" s="64"/>
      <c r="AW51" s="64"/>
      <c r="AX51" s="64"/>
      <c r="AY51" s="64"/>
      <c r="AZ51" s="64"/>
      <c r="BA51" s="64"/>
      <c r="BB51" s="64"/>
      <c r="BC51" s="64"/>
      <c r="BD51" s="64"/>
      <c r="BE51" s="64"/>
      <c r="BF51" s="64"/>
      <c r="BG51" s="64"/>
      <c r="BH51" s="64"/>
      <c r="BI51" s="64"/>
      <c r="BJ51" s="64"/>
      <c r="BK51" s="64"/>
      <c r="BL51" s="64"/>
      <c r="BM51" s="64"/>
      <c r="BN51" s="64"/>
      <c r="BO51" s="64"/>
      <c r="BP51" s="64"/>
      <c r="BQ51" s="64"/>
      <c r="BR51" s="64"/>
      <c r="BS51" s="64"/>
      <c r="BT51" s="64"/>
    </row>
    <row r="52" spans="1:76" s="12" customFormat="1" hidden="1" x14ac:dyDescent="0.35">
      <c r="A52" s="1"/>
      <c r="B52" s="1"/>
      <c r="C52" s="1"/>
      <c r="D52" s="1"/>
      <c r="E52" s="1"/>
      <c r="F52" s="1"/>
      <c r="G52" s="64"/>
      <c r="H52" s="120"/>
      <c r="I52" s="64"/>
      <c r="J52" s="64"/>
      <c r="K52" s="49" t="s">
        <v>203</v>
      </c>
      <c r="L52" s="50" t="s">
        <v>115</v>
      </c>
      <c r="M52" s="50" t="s">
        <v>204</v>
      </c>
      <c r="N52" s="182">
        <f t="shared" si="8"/>
        <v>0.74842322642990644</v>
      </c>
      <c r="O52" s="183">
        <f t="shared" si="8"/>
        <v>0.1272292812084112</v>
      </c>
      <c r="P52" s="190">
        <f>($H$18*P62)+((1-$H$18)*P57)</f>
        <v>9.7417716184112144E-2</v>
      </c>
      <c r="Q52" s="65"/>
      <c r="R52" s="64"/>
      <c r="S52" s="64"/>
      <c r="T52" s="64"/>
      <c r="U52" s="64"/>
      <c r="V52" s="64"/>
      <c r="W52" s="64"/>
      <c r="X52" s="64"/>
      <c r="Y52" s="64"/>
      <c r="Z52" s="64"/>
      <c r="AA52" s="64"/>
      <c r="AB52" s="64"/>
      <c r="AC52" s="64"/>
      <c r="AD52" s="64"/>
      <c r="AE52" s="64"/>
      <c r="AF52" s="64"/>
      <c r="AG52" s="64"/>
      <c r="AH52" s="64"/>
      <c r="AI52" s="64"/>
      <c r="AJ52" s="64"/>
      <c r="AK52" s="64"/>
      <c r="AL52" s="64"/>
      <c r="AM52" s="64"/>
      <c r="AN52" s="64"/>
      <c r="AO52" s="64"/>
      <c r="AP52" s="64"/>
      <c r="AQ52" s="64"/>
      <c r="AR52" s="64"/>
      <c r="AS52" s="64"/>
      <c r="AT52" s="64"/>
      <c r="AU52" s="64"/>
      <c r="AV52" s="64"/>
      <c r="AW52" s="64"/>
      <c r="AX52" s="64"/>
      <c r="AY52" s="64"/>
      <c r="AZ52" s="64"/>
      <c r="BA52" s="64"/>
      <c r="BB52" s="64"/>
      <c r="BC52" s="64"/>
      <c r="BD52" s="64"/>
      <c r="BE52" s="64"/>
      <c r="BF52" s="64"/>
      <c r="BG52" s="64"/>
      <c r="BH52" s="64"/>
      <c r="BI52" s="64"/>
      <c r="BJ52" s="64"/>
      <c r="BK52" s="64"/>
      <c r="BL52" s="64"/>
      <c r="BM52" s="64"/>
      <c r="BN52" s="64"/>
      <c r="BO52" s="64"/>
      <c r="BP52" s="64"/>
      <c r="BQ52" s="64"/>
      <c r="BR52" s="64"/>
      <c r="BS52" s="64"/>
      <c r="BT52" s="64"/>
    </row>
    <row r="53" spans="1:76" s="12" customFormat="1" hidden="1" x14ac:dyDescent="0.35">
      <c r="A53" s="64"/>
      <c r="B53" s="64"/>
      <c r="C53" s="64"/>
      <c r="D53" s="64"/>
      <c r="E53" s="64"/>
      <c r="F53" s="64"/>
      <c r="G53" s="64"/>
      <c r="H53" s="64"/>
      <c r="I53" s="64"/>
      <c r="J53" s="64"/>
      <c r="K53" s="53" t="s">
        <v>208</v>
      </c>
      <c r="L53" s="54" t="s">
        <v>106</v>
      </c>
      <c r="M53" s="54" t="s">
        <v>204</v>
      </c>
      <c r="N53" s="178">
        <f>'Emission Factors'!$X19</f>
        <v>3394.7060747663554</v>
      </c>
      <c r="O53" s="179">
        <f>'Emission Factors'!$Y19</f>
        <v>2594.6621495327104</v>
      </c>
      <c r="P53" s="475">
        <f>'Emission Factors'!$Z19</f>
        <v>2344.3917757009344</v>
      </c>
      <c r="Q53" s="65"/>
      <c r="R53" s="64"/>
      <c r="S53" s="64"/>
      <c r="T53" s="64"/>
      <c r="U53" s="64"/>
      <c r="V53" s="64"/>
      <c r="W53" s="64"/>
      <c r="X53" s="64"/>
      <c r="Y53" s="64"/>
      <c r="Z53" s="64"/>
      <c r="AA53" s="64"/>
      <c r="AB53" s="64"/>
      <c r="AC53" s="64"/>
      <c r="AD53" s="64"/>
      <c r="AE53" s="64"/>
      <c r="AF53" s="64"/>
      <c r="AG53" s="64"/>
      <c r="AH53" s="64"/>
      <c r="AI53" s="64"/>
      <c r="AJ53" s="64"/>
      <c r="AK53" s="64"/>
      <c r="AL53" s="64"/>
      <c r="AM53" s="64"/>
      <c r="AN53" s="64"/>
      <c r="AO53" s="64"/>
      <c r="AP53" s="64"/>
      <c r="AQ53" s="64"/>
      <c r="AR53" s="64"/>
      <c r="AS53" s="64"/>
      <c r="AT53" s="64"/>
      <c r="AU53" s="64"/>
      <c r="AV53" s="64"/>
      <c r="AW53" s="64"/>
      <c r="AX53" s="64"/>
      <c r="AY53" s="64"/>
      <c r="AZ53" s="64"/>
      <c r="BA53" s="64"/>
      <c r="BB53" s="64"/>
      <c r="BC53" s="64"/>
      <c r="BD53" s="64"/>
      <c r="BE53" s="64"/>
      <c r="BF53" s="64"/>
      <c r="BG53" s="64"/>
      <c r="BH53" s="64"/>
      <c r="BI53" s="64"/>
      <c r="BJ53" s="64"/>
      <c r="BK53" s="64"/>
      <c r="BL53" s="64"/>
      <c r="BM53" s="64"/>
      <c r="BN53" s="64"/>
      <c r="BO53" s="64"/>
      <c r="BP53" s="64"/>
      <c r="BQ53" s="64"/>
      <c r="BR53" s="64"/>
      <c r="BS53" s="64"/>
      <c r="BT53" s="64"/>
    </row>
    <row r="54" spans="1:76" s="12" customFormat="1" hidden="1" x14ac:dyDescent="0.35">
      <c r="A54" s="64"/>
      <c r="B54" s="64"/>
      <c r="C54" s="64"/>
      <c r="D54" s="64"/>
      <c r="E54" s="64"/>
      <c r="F54" s="64"/>
      <c r="G54" s="64"/>
      <c r="H54" s="64"/>
      <c r="I54" s="64"/>
      <c r="J54" s="64"/>
      <c r="K54" s="48" t="s">
        <v>208</v>
      </c>
      <c r="L54" s="45" t="s">
        <v>109</v>
      </c>
      <c r="M54" s="45" t="s">
        <v>204</v>
      </c>
      <c r="N54" s="180">
        <f>'Emission Factors'!$X20</f>
        <v>7.9889751401869162</v>
      </c>
      <c r="O54" s="181">
        <f>'Emission Factors'!$Y20</f>
        <v>2.9743538317757006</v>
      </c>
      <c r="P54" s="476">
        <f>'Emission Factors'!$Z20</f>
        <v>1.3891573831775701</v>
      </c>
      <c r="Q54" s="65"/>
      <c r="R54" s="64"/>
      <c r="S54" s="64"/>
      <c r="T54" s="64"/>
      <c r="U54" s="64"/>
      <c r="V54" s="64"/>
      <c r="W54" s="64"/>
      <c r="X54" s="64"/>
      <c r="Y54" s="64"/>
      <c r="Z54" s="64"/>
      <c r="AA54" s="64"/>
      <c r="AB54" s="64"/>
      <c r="AC54" s="64"/>
      <c r="AD54" s="64"/>
      <c r="AE54" s="64"/>
      <c r="AF54" s="64"/>
      <c r="AG54" s="64"/>
      <c r="AH54" s="64"/>
      <c r="AI54" s="64"/>
      <c r="AJ54" s="64"/>
      <c r="AK54" s="64"/>
      <c r="AL54" s="64"/>
      <c r="AM54" s="64"/>
      <c r="AN54" s="64"/>
      <c r="AO54" s="64"/>
      <c r="AP54" s="64"/>
      <c r="AQ54" s="64"/>
      <c r="AR54" s="64"/>
      <c r="AS54" s="64"/>
      <c r="AT54" s="64"/>
      <c r="AU54" s="64"/>
      <c r="AV54" s="64"/>
      <c r="AW54" s="64"/>
      <c r="AX54" s="64"/>
      <c r="AY54" s="64"/>
      <c r="AZ54" s="64"/>
      <c r="BA54" s="64"/>
      <c r="BB54" s="64"/>
      <c r="BC54" s="64"/>
      <c r="BD54" s="64"/>
      <c r="BE54" s="64"/>
      <c r="BF54" s="64"/>
      <c r="BG54" s="64"/>
      <c r="BH54" s="64"/>
      <c r="BI54" s="64"/>
      <c r="BJ54" s="64"/>
      <c r="BK54" s="64"/>
      <c r="BL54" s="64"/>
      <c r="BM54" s="64"/>
      <c r="BN54" s="64"/>
      <c r="BO54" s="64"/>
      <c r="BP54" s="64"/>
      <c r="BQ54" s="64"/>
      <c r="BR54" s="64"/>
      <c r="BS54" s="64"/>
      <c r="BT54" s="64"/>
    </row>
    <row r="55" spans="1:76" s="12" customFormat="1" hidden="1" x14ac:dyDescent="0.35">
      <c r="A55" s="64"/>
      <c r="B55" s="64"/>
      <c r="C55" s="64"/>
      <c r="D55" s="64"/>
      <c r="E55" s="64"/>
      <c r="F55" s="64"/>
      <c r="G55" s="64"/>
      <c r="H55" s="64"/>
      <c r="I55" s="64"/>
      <c r="J55" s="64"/>
      <c r="K55" s="48" t="s">
        <v>208</v>
      </c>
      <c r="L55" s="45" t="s">
        <v>111</v>
      </c>
      <c r="M55" s="45" t="s">
        <v>204</v>
      </c>
      <c r="N55" s="180">
        <f>'Emission Factors'!$X21</f>
        <v>6.3187687850467286E-2</v>
      </c>
      <c r="O55" s="181">
        <f>'Emission Factors'!$Y21</f>
        <v>1.5618064485981308E-2</v>
      </c>
      <c r="P55" s="476">
        <f>'Emission Factors'!$Z21</f>
        <v>9.7644063551401879E-3</v>
      </c>
      <c r="Q55" s="65"/>
      <c r="R55" s="64"/>
      <c r="S55" s="64"/>
      <c r="T55" s="64"/>
      <c r="U55" s="64"/>
      <c r="V55" s="64"/>
      <c r="W55" s="64"/>
      <c r="X55" s="64"/>
      <c r="Y55" s="64"/>
      <c r="Z55" s="64"/>
      <c r="AA55" s="64"/>
      <c r="AB55" s="64"/>
      <c r="AC55" s="64"/>
      <c r="AD55" s="64"/>
      <c r="AE55" s="64"/>
      <c r="AF55" s="64"/>
      <c r="AG55" s="64"/>
      <c r="AH55" s="64"/>
      <c r="AI55" s="64"/>
      <c r="AJ55" s="64"/>
      <c r="AK55" s="64"/>
      <c r="AL55" s="64"/>
      <c r="AM55" s="64"/>
      <c r="AN55" s="64"/>
      <c r="AO55" s="64"/>
      <c r="AP55" s="64"/>
      <c r="AQ55" s="64"/>
      <c r="AR55" s="64"/>
      <c r="AS55" s="64"/>
      <c r="AT55" s="64"/>
      <c r="AU55" s="64"/>
      <c r="AV55" s="64"/>
      <c r="AW55" s="64"/>
      <c r="AX55" s="64"/>
      <c r="AY55" s="64"/>
      <c r="AZ55" s="64"/>
      <c r="BA55" s="64"/>
      <c r="BB55" s="64"/>
      <c r="BC55" s="64"/>
      <c r="BD55" s="64"/>
      <c r="BE55" s="64"/>
      <c r="BF55" s="64"/>
      <c r="BG55" s="64"/>
      <c r="BH55" s="64"/>
      <c r="BI55" s="64"/>
      <c r="BJ55" s="64"/>
      <c r="BK55" s="64"/>
      <c r="BL55" s="64"/>
      <c r="BM55" s="64"/>
      <c r="BN55" s="64"/>
      <c r="BO55" s="64"/>
      <c r="BP55" s="64"/>
      <c r="BQ55" s="64"/>
      <c r="BR55" s="64"/>
      <c r="BS55" s="64"/>
      <c r="BT55" s="64"/>
    </row>
    <row r="56" spans="1:76" s="12" customFormat="1" hidden="1" x14ac:dyDescent="0.35">
      <c r="A56" s="64"/>
      <c r="B56" s="64"/>
      <c r="C56" s="64"/>
      <c r="D56" s="64"/>
      <c r="E56" s="64"/>
      <c r="F56" s="64"/>
      <c r="G56" s="64"/>
      <c r="H56" s="64"/>
      <c r="I56" s="64"/>
      <c r="J56" s="64"/>
      <c r="K56" s="48" t="s">
        <v>208</v>
      </c>
      <c r="L56" s="45" t="s">
        <v>113</v>
      </c>
      <c r="M56" s="45" t="s">
        <v>204</v>
      </c>
      <c r="N56" s="180">
        <f>'Emission Factors'!$X22</f>
        <v>1.2284197757009345</v>
      </c>
      <c r="O56" s="181">
        <f>'Emission Factors'!$Y22</f>
        <v>0.43097006542056071</v>
      </c>
      <c r="P56" s="476">
        <f>'Emission Factors'!$Z22</f>
        <v>0.33547693084112146</v>
      </c>
      <c r="Q56" s="65"/>
      <c r="R56" s="64"/>
      <c r="S56" s="64"/>
      <c r="T56" s="64"/>
      <c r="U56" s="64"/>
      <c r="V56" s="64"/>
      <c r="W56" s="64"/>
      <c r="X56" s="64"/>
      <c r="Y56" s="64"/>
      <c r="Z56" s="64"/>
      <c r="AA56" s="64"/>
      <c r="AB56" s="64"/>
      <c r="AC56" s="64"/>
      <c r="AD56" s="64"/>
      <c r="AE56" s="64"/>
      <c r="AF56" s="64"/>
      <c r="AG56" s="64"/>
      <c r="AH56" s="64"/>
      <c r="AI56" s="64"/>
      <c r="AJ56" s="64"/>
      <c r="AK56" s="64"/>
      <c r="AL56" s="64"/>
      <c r="AM56" s="64"/>
      <c r="AN56" s="64"/>
      <c r="AO56" s="64"/>
      <c r="AP56" s="64"/>
      <c r="AQ56" s="64"/>
      <c r="AR56" s="64"/>
      <c r="AS56" s="64"/>
      <c r="AT56" s="64"/>
      <c r="AU56" s="64"/>
      <c r="AV56" s="64"/>
      <c r="AW56" s="64"/>
      <c r="AX56" s="64"/>
      <c r="AY56" s="64"/>
      <c r="AZ56" s="64"/>
      <c r="BA56" s="64"/>
      <c r="BB56" s="64"/>
      <c r="BC56" s="64"/>
      <c r="BD56" s="64"/>
      <c r="BE56" s="64"/>
      <c r="BF56" s="64"/>
      <c r="BG56" s="64"/>
      <c r="BH56" s="64"/>
      <c r="BI56" s="64"/>
      <c r="BJ56" s="64"/>
      <c r="BK56" s="64"/>
      <c r="BL56" s="64"/>
      <c r="BM56" s="64"/>
      <c r="BN56" s="64"/>
      <c r="BO56" s="64"/>
      <c r="BP56" s="64"/>
      <c r="BQ56" s="64"/>
      <c r="BR56" s="64"/>
      <c r="BS56" s="64"/>
      <c r="BT56" s="64"/>
    </row>
    <row r="57" spans="1:76" s="12" customFormat="1" hidden="1" x14ac:dyDescent="0.35">
      <c r="A57" s="64"/>
      <c r="B57" s="64"/>
      <c r="C57" s="64"/>
      <c r="D57" s="64"/>
      <c r="E57" s="64"/>
      <c r="F57" s="64"/>
      <c r="G57" s="64"/>
      <c r="H57" s="64"/>
      <c r="I57" s="64"/>
      <c r="J57" s="64"/>
      <c r="K57" s="49" t="s">
        <v>208</v>
      </c>
      <c r="L57" s="50" t="s">
        <v>115</v>
      </c>
      <c r="M57" s="50" t="s">
        <v>204</v>
      </c>
      <c r="N57" s="182">
        <f>'Emission Factors'!$X23</f>
        <v>0.605169738317757</v>
      </c>
      <c r="O57" s="183">
        <f>'Emission Factors'!$Y23</f>
        <v>7.8430651401869167E-2</v>
      </c>
      <c r="P57" s="477">
        <f>'Emission Factors'!$Z23</f>
        <v>6.1415414018691585E-2</v>
      </c>
      <c r="Q57" s="65"/>
      <c r="R57" s="64"/>
      <c r="S57" s="64"/>
      <c r="T57" s="64"/>
      <c r="U57" s="64"/>
      <c r="V57" s="64"/>
      <c r="W57" s="64"/>
      <c r="X57" s="64"/>
      <c r="Y57" s="64"/>
      <c r="Z57" s="64"/>
      <c r="AA57" s="64"/>
      <c r="AB57" s="64"/>
      <c r="AC57" s="64"/>
      <c r="AD57" s="64"/>
      <c r="AE57" s="64"/>
      <c r="AF57" s="64"/>
      <c r="AG57" s="64"/>
      <c r="AH57" s="64"/>
      <c r="AI57" s="64"/>
      <c r="AJ57" s="64"/>
      <c r="AK57" s="64"/>
      <c r="AL57" s="64"/>
      <c r="AM57" s="64"/>
      <c r="AN57" s="64"/>
      <c r="AO57" s="64"/>
      <c r="AP57" s="64"/>
      <c r="AQ57" s="64"/>
      <c r="AR57" s="64"/>
      <c r="AS57" s="64"/>
      <c r="AT57" s="64"/>
      <c r="AU57" s="64"/>
      <c r="AV57" s="64"/>
      <c r="AW57" s="64"/>
      <c r="AX57" s="64"/>
      <c r="AY57" s="64"/>
      <c r="AZ57" s="64"/>
      <c r="BA57" s="64"/>
      <c r="BB57" s="64"/>
      <c r="BC57" s="64"/>
      <c r="BD57" s="64"/>
      <c r="BE57" s="64"/>
      <c r="BF57" s="64"/>
      <c r="BG57" s="64"/>
      <c r="BH57" s="64"/>
      <c r="BI57" s="64"/>
      <c r="BJ57" s="64"/>
      <c r="BK57" s="64"/>
      <c r="BL57" s="64"/>
      <c r="BM57" s="64"/>
      <c r="BN57" s="64"/>
      <c r="BO57" s="64"/>
      <c r="BP57" s="64"/>
      <c r="BQ57" s="64"/>
      <c r="BR57" s="64"/>
      <c r="BS57" s="64"/>
      <c r="BT57" s="64"/>
    </row>
    <row r="58" spans="1:76" s="12" customFormat="1" hidden="1" x14ac:dyDescent="0.35">
      <c r="A58" s="64"/>
      <c r="B58" s="64"/>
      <c r="C58" s="64"/>
      <c r="D58" s="64"/>
      <c r="E58" s="64"/>
      <c r="F58" s="64"/>
      <c r="G58" s="64"/>
      <c r="H58" s="64"/>
      <c r="I58" s="64"/>
      <c r="J58" s="64"/>
      <c r="K58" s="53" t="s">
        <v>136</v>
      </c>
      <c r="L58" s="54" t="s">
        <v>106</v>
      </c>
      <c r="M58" s="54" t="s">
        <v>204</v>
      </c>
      <c r="N58" s="178">
        <f>VLOOKUP(L58,'Emission Factors'!$P$3:$S$7,MATCH(K58,'Emission Factors'!$P$2:$S$2,0),0)</f>
        <v>8058.48</v>
      </c>
      <c r="O58" s="179">
        <f>VLOOKUP(L58,'Emission Factors'!$P$88:$S$92,MATCH(K58,'Emission Factors'!$P$87:$S$87,0),0)</f>
        <v>7338.65</v>
      </c>
      <c r="P58" s="475">
        <f>VLOOKUP(L58,'Emission Factors'!$P$173:$S$177,MATCH(K58,'Emission Factors'!$P$87:$S$87,0),0)</f>
        <v>6746.7</v>
      </c>
      <c r="Q58" s="65"/>
      <c r="R58" s="64"/>
      <c r="S58" s="64"/>
      <c r="T58" s="64"/>
      <c r="U58" s="64"/>
      <c r="V58" s="64"/>
      <c r="W58" s="64"/>
      <c r="X58" s="64"/>
      <c r="Y58" s="64"/>
      <c r="Z58" s="64"/>
      <c r="AA58" s="64"/>
      <c r="AB58" s="64"/>
      <c r="AC58" s="64"/>
      <c r="AD58" s="64"/>
      <c r="AE58" s="64"/>
      <c r="AF58" s="64"/>
      <c r="AG58" s="64"/>
      <c r="AH58" s="64"/>
      <c r="AI58" s="64"/>
      <c r="AJ58" s="64"/>
      <c r="AK58" s="64"/>
      <c r="AL58" s="64"/>
      <c r="AM58" s="64"/>
      <c r="AN58" s="64"/>
      <c r="AO58" s="64"/>
      <c r="AP58" s="64"/>
      <c r="AQ58" s="64"/>
      <c r="AR58" s="64"/>
      <c r="AS58" s="64"/>
      <c r="AT58" s="64"/>
      <c r="AU58" s="64"/>
      <c r="AV58" s="64"/>
      <c r="AW58" s="64"/>
      <c r="AX58" s="64"/>
      <c r="AY58" s="64"/>
      <c r="AZ58" s="64"/>
      <c r="BA58" s="64"/>
      <c r="BB58" s="64"/>
      <c r="BC58" s="64"/>
      <c r="BD58" s="64"/>
      <c r="BE58" s="64"/>
      <c r="BF58" s="64"/>
      <c r="BG58" s="64"/>
      <c r="BH58" s="64"/>
      <c r="BI58" s="64"/>
      <c r="BJ58" s="64"/>
      <c r="BK58" s="64"/>
      <c r="BL58" s="64"/>
      <c r="BM58" s="64"/>
      <c r="BN58" s="64"/>
      <c r="BO58" s="64"/>
      <c r="BP58" s="64"/>
      <c r="BQ58" s="64"/>
      <c r="BR58" s="64"/>
      <c r="BS58" s="64"/>
      <c r="BT58" s="64"/>
    </row>
    <row r="59" spans="1:76" s="12" customFormat="1" hidden="1" x14ac:dyDescent="0.35">
      <c r="A59" s="64"/>
      <c r="B59" s="64"/>
      <c r="C59" s="64"/>
      <c r="D59" s="64"/>
      <c r="E59" s="64"/>
      <c r="F59" s="64"/>
      <c r="G59" s="64"/>
      <c r="H59" s="64"/>
      <c r="I59" s="64"/>
      <c r="J59" s="64"/>
      <c r="K59" s="48" t="s">
        <v>136</v>
      </c>
      <c r="L59" s="45" t="s">
        <v>109</v>
      </c>
      <c r="M59" s="45" t="s">
        <v>204</v>
      </c>
      <c r="N59" s="180">
        <f>VLOOKUP(L59,'Emission Factors'!$P$3:$S$7,MATCH(K59,'Emission Factors'!$P$2:$S$2,0),0)</f>
        <v>20.506699999999999</v>
      </c>
      <c r="O59" s="181">
        <f>VLOOKUP(L59,'Emission Factors'!$P$88:$S$92,MATCH(K59,'Emission Factors'!$P$87:$S$87,0),0)</f>
        <v>19.098800000000001</v>
      </c>
      <c r="P59" s="476">
        <f>VLOOKUP(L59,'Emission Factors'!$P$173:$S$177,MATCH(K59,'Emission Factors'!$P$87:$S$87,0),0)</f>
        <v>18.852900000000002</v>
      </c>
      <c r="Q59" s="65"/>
      <c r="R59" s="64"/>
      <c r="S59" s="64"/>
      <c r="T59" s="64"/>
      <c r="U59" s="64"/>
      <c r="V59" s="64"/>
      <c r="W59" s="64"/>
      <c r="X59" s="64"/>
      <c r="Y59" s="64"/>
      <c r="Z59" s="64"/>
      <c r="AA59" s="64"/>
      <c r="AB59" s="64"/>
      <c r="AC59" s="64"/>
      <c r="AD59" s="64"/>
      <c r="AE59" s="64"/>
      <c r="AF59" s="64"/>
      <c r="AG59" s="64"/>
      <c r="AH59" s="64"/>
      <c r="AI59" s="64"/>
      <c r="AJ59" s="64"/>
      <c r="AK59" s="64"/>
      <c r="AL59" s="64"/>
      <c r="AM59" s="64"/>
      <c r="AN59" s="64"/>
      <c r="AO59" s="64"/>
      <c r="AP59" s="64"/>
      <c r="AQ59" s="64"/>
      <c r="AR59" s="64"/>
      <c r="AS59" s="64"/>
      <c r="AT59" s="64"/>
      <c r="AU59" s="64"/>
      <c r="AV59" s="64"/>
      <c r="AW59" s="64"/>
      <c r="AX59" s="64"/>
      <c r="AY59" s="64"/>
      <c r="AZ59" s="64"/>
      <c r="BA59" s="64"/>
      <c r="BB59" s="64"/>
      <c r="BC59" s="64"/>
      <c r="BD59" s="64"/>
      <c r="BE59" s="64"/>
      <c r="BF59" s="64"/>
      <c r="BG59" s="64"/>
      <c r="BH59" s="64"/>
      <c r="BI59" s="64"/>
      <c r="BJ59" s="64"/>
      <c r="BK59" s="64"/>
      <c r="BL59" s="64"/>
      <c r="BM59" s="64"/>
      <c r="BN59" s="64"/>
      <c r="BO59" s="64"/>
      <c r="BP59" s="64"/>
      <c r="BQ59" s="64"/>
      <c r="BR59" s="64"/>
      <c r="BS59" s="64"/>
      <c r="BT59" s="64"/>
      <c r="BU59" s="64"/>
      <c r="BV59" s="64"/>
      <c r="BW59" s="64"/>
      <c r="BX59" s="64"/>
    </row>
    <row r="60" spans="1:76" s="64" customFormat="1" hidden="1" x14ac:dyDescent="0.35">
      <c r="K60" s="48" t="s">
        <v>136</v>
      </c>
      <c r="L60" s="45" t="s">
        <v>111</v>
      </c>
      <c r="M60" s="45" t="s">
        <v>204</v>
      </c>
      <c r="N60" s="180">
        <f>VLOOKUP(L60,'Emission Factors'!$P$3:$S$7,MATCH(K60,'Emission Factors'!$P$2:$S$2,0),0)</f>
        <v>1.8287899999999999</v>
      </c>
      <c r="O60" s="181">
        <f>VLOOKUP(L60,'Emission Factors'!$P$88:$S$92,MATCH(K60,'Emission Factors'!$P$87:$S$87,0),0)</f>
        <v>0.39631699999999997</v>
      </c>
      <c r="P60" s="476">
        <f>VLOOKUP(L60,'Emission Factors'!$P$173:$S$177,MATCH(K60,'Emission Factors'!$P$87:$S$87,0),0)</f>
        <v>0.209152</v>
      </c>
      <c r="Q60" s="65"/>
    </row>
    <row r="61" spans="1:76" s="60" customFormat="1" hidden="1" x14ac:dyDescent="0.35">
      <c r="A61" s="64"/>
      <c r="B61" s="64"/>
      <c r="C61" s="64"/>
      <c r="D61" s="64"/>
      <c r="E61" s="64"/>
      <c r="F61" s="64"/>
      <c r="G61" s="64"/>
      <c r="H61" s="64"/>
      <c r="I61" s="64"/>
      <c r="J61" s="64"/>
      <c r="K61" s="48" t="s">
        <v>136</v>
      </c>
      <c r="L61" s="45" t="s">
        <v>113</v>
      </c>
      <c r="M61" s="45" t="s">
        <v>204</v>
      </c>
      <c r="N61" s="180">
        <f>VLOOKUP(L61,'Emission Factors'!$P$3:$S$7,MATCH(K61,'Emission Factors'!$P$2:$S$2,0),0)</f>
        <v>61.287300000000002</v>
      </c>
      <c r="O61" s="181">
        <f>VLOOKUP(L61,'Emission Factors'!$P$88:$S$92,MATCH(K61,'Emission Factors'!$P$87:$S$87,0),0)</f>
        <v>47.936</v>
      </c>
      <c r="P61" s="476">
        <f>VLOOKUP(L61,'Emission Factors'!$P$173:$S$177,MATCH(K61,'Emission Factors'!$P$87:$S$87,0),0)</f>
        <v>47.116599999999998</v>
      </c>
      <c r="Q61" s="65"/>
      <c r="R61" s="65"/>
      <c r="S61" s="65"/>
      <c r="T61" s="65"/>
      <c r="U61" s="65"/>
      <c r="V61" s="65"/>
      <c r="W61" s="65"/>
      <c r="X61" s="65"/>
      <c r="Y61" s="65"/>
      <c r="Z61" s="65"/>
      <c r="AA61" s="65"/>
      <c r="AB61" s="65"/>
      <c r="AC61" s="65"/>
      <c r="AD61" s="65"/>
      <c r="AE61" s="65"/>
      <c r="AF61" s="65"/>
      <c r="AG61" s="65"/>
      <c r="AH61" s="65"/>
      <c r="AI61" s="65"/>
      <c r="AJ61" s="65"/>
      <c r="AK61" s="65"/>
      <c r="AL61" s="65"/>
      <c r="AM61" s="65"/>
      <c r="AN61" s="65"/>
      <c r="AO61" s="65"/>
      <c r="AP61" s="65"/>
      <c r="AQ61" s="65"/>
      <c r="AR61" s="65"/>
      <c r="AS61" s="65"/>
      <c r="AT61" s="65"/>
      <c r="AU61" s="65"/>
      <c r="AV61" s="65"/>
      <c r="AW61" s="65"/>
      <c r="AX61" s="65"/>
      <c r="AY61" s="65"/>
      <c r="AZ61" s="65"/>
      <c r="BA61" s="65"/>
      <c r="BB61" s="65"/>
      <c r="BC61" s="65"/>
      <c r="BD61" s="65"/>
      <c r="BE61" s="65"/>
      <c r="BF61" s="65"/>
      <c r="BG61" s="65"/>
      <c r="BH61" s="65"/>
      <c r="BI61" s="65"/>
      <c r="BJ61" s="65"/>
      <c r="BK61" s="65"/>
      <c r="BL61" s="65"/>
      <c r="BM61" s="65"/>
      <c r="BN61" s="65"/>
      <c r="BO61" s="65"/>
      <c r="BP61" s="65"/>
      <c r="BQ61" s="65"/>
      <c r="BR61" s="65"/>
      <c r="BS61" s="65"/>
      <c r="BT61" s="65"/>
      <c r="BU61" s="65"/>
      <c r="BV61" s="65"/>
    </row>
    <row r="62" spans="1:76" s="60" customFormat="1" hidden="1" x14ac:dyDescent="0.35">
      <c r="A62" s="1"/>
      <c r="B62" s="1"/>
      <c r="C62" s="1"/>
      <c r="D62" s="1"/>
      <c r="E62" s="1"/>
      <c r="F62" s="1"/>
      <c r="G62" s="64"/>
      <c r="H62" s="64"/>
      <c r="I62" s="64"/>
      <c r="J62" s="64"/>
      <c r="K62" s="49" t="s">
        <v>136</v>
      </c>
      <c r="L62" s="50" t="s">
        <v>115</v>
      </c>
      <c r="M62" s="50" t="s">
        <v>204</v>
      </c>
      <c r="N62" s="182">
        <f>VLOOKUP(L62,'Emission Factors'!$P$3:$S$7,MATCH(K62,'Emission Factors'!$P$2:$S$2,0),0)</f>
        <v>5.2262500000000003</v>
      </c>
      <c r="O62" s="183">
        <f>VLOOKUP(L62,'Emission Factors'!$P$88:$S$92,MATCH(K62,'Emission Factors'!$P$87:$S$87,0),0)</f>
        <v>1.6525799999999999</v>
      </c>
      <c r="P62" s="477">
        <f>VLOOKUP(L62,'Emission Factors'!$P$173:$S$177,MATCH(K62,'Emission Factors'!$P$87:$S$87,0),0)</f>
        <v>1.22278</v>
      </c>
      <c r="Q62" s="65"/>
      <c r="R62" s="65"/>
      <c r="S62" s="65"/>
      <c r="T62" s="65"/>
      <c r="U62" s="65"/>
      <c r="V62" s="65"/>
      <c r="W62" s="65"/>
      <c r="X62" s="65"/>
      <c r="Y62" s="65"/>
      <c r="Z62" s="65"/>
      <c r="AA62" s="65"/>
      <c r="AB62" s="65"/>
      <c r="AC62" s="65"/>
      <c r="AD62" s="65"/>
      <c r="AE62" s="65"/>
      <c r="AF62" s="65"/>
      <c r="AG62" s="65"/>
      <c r="AH62" s="65"/>
      <c r="AI62" s="65"/>
      <c r="AJ62" s="65"/>
      <c r="AK62" s="65"/>
      <c r="AL62" s="65"/>
      <c r="AM62" s="65"/>
      <c r="AN62" s="65"/>
      <c r="AO62" s="65"/>
      <c r="AP62" s="65"/>
      <c r="AQ62" s="65"/>
      <c r="AR62" s="65"/>
      <c r="AS62" s="65"/>
      <c r="AT62" s="65"/>
      <c r="AU62" s="65"/>
      <c r="AV62" s="65"/>
      <c r="AW62" s="65"/>
      <c r="AX62" s="65"/>
      <c r="AY62" s="65"/>
      <c r="AZ62" s="65"/>
      <c r="BA62" s="65"/>
      <c r="BB62" s="65"/>
      <c r="BC62" s="65"/>
      <c r="BD62" s="65"/>
      <c r="BE62" s="65"/>
      <c r="BF62" s="65"/>
      <c r="BG62" s="65"/>
      <c r="BH62" s="65"/>
      <c r="BI62" s="65"/>
      <c r="BJ62" s="65"/>
      <c r="BK62" s="65"/>
      <c r="BL62" s="65"/>
      <c r="BM62" s="65"/>
      <c r="BN62" s="65"/>
      <c r="BO62" s="65"/>
      <c r="BP62" s="65"/>
      <c r="BQ62" s="65"/>
      <c r="BR62" s="65"/>
      <c r="BS62" s="65"/>
      <c r="BT62" s="65"/>
      <c r="BU62" s="65"/>
      <c r="BV62" s="65"/>
    </row>
    <row r="63" spans="1:76" s="60" customFormat="1" hidden="1" x14ac:dyDescent="0.35">
      <c r="A63" s="12"/>
      <c r="B63" s="64"/>
      <c r="C63" s="64"/>
      <c r="D63" s="64"/>
      <c r="E63" s="64"/>
      <c r="F63" s="64"/>
      <c r="G63" s="64"/>
      <c r="H63" s="64"/>
      <c r="I63" s="64"/>
      <c r="J63" s="64"/>
      <c r="K63" s="64"/>
      <c r="L63" s="65"/>
      <c r="M63" s="65"/>
      <c r="N63" s="65"/>
      <c r="O63" s="65"/>
      <c r="P63" s="65"/>
      <c r="Q63" s="65"/>
      <c r="R63" s="65"/>
      <c r="S63" s="65"/>
      <c r="T63" s="65"/>
      <c r="U63" s="65"/>
      <c r="V63" s="65"/>
      <c r="W63" s="65"/>
      <c r="X63" s="65"/>
      <c r="Y63" s="65"/>
      <c r="Z63" s="65"/>
      <c r="AA63" s="65"/>
      <c r="AB63" s="65"/>
      <c r="AC63" s="65"/>
      <c r="AD63" s="65"/>
      <c r="AE63" s="65"/>
      <c r="AF63" s="65"/>
      <c r="AG63" s="65"/>
      <c r="AH63" s="65"/>
      <c r="AI63" s="65"/>
      <c r="AJ63" s="65"/>
      <c r="AK63" s="65"/>
      <c r="AL63" s="65"/>
      <c r="AM63" s="65"/>
      <c r="AN63" s="65"/>
      <c r="AO63" s="65"/>
      <c r="AP63" s="65"/>
      <c r="AQ63" s="65"/>
      <c r="AR63" s="65"/>
      <c r="AS63" s="65"/>
      <c r="AT63" s="65"/>
      <c r="AU63" s="65"/>
      <c r="AV63" s="65"/>
      <c r="AW63" s="65"/>
      <c r="AX63" s="65"/>
      <c r="AY63" s="65"/>
      <c r="AZ63" s="65"/>
      <c r="BA63" s="65"/>
      <c r="BB63" s="65"/>
      <c r="BC63" s="65"/>
      <c r="BD63" s="65"/>
      <c r="BE63" s="65"/>
      <c r="BF63" s="65"/>
      <c r="BG63" s="65"/>
      <c r="BH63" s="65"/>
      <c r="BI63" s="65"/>
      <c r="BJ63" s="65"/>
      <c r="BK63" s="65"/>
      <c r="BL63" s="65"/>
      <c r="BM63" s="65"/>
      <c r="BN63" s="65"/>
      <c r="BO63" s="65"/>
      <c r="BP63" s="65"/>
      <c r="BQ63" s="65"/>
      <c r="BR63" s="65"/>
      <c r="BS63" s="65"/>
      <c r="BT63" s="65"/>
      <c r="BU63" s="65"/>
      <c r="BV63" s="65"/>
    </row>
    <row r="64" spans="1:76" s="60" customFormat="1" ht="15.5" x14ac:dyDescent="0.35">
      <c r="A64" s="1"/>
      <c r="B64" s="61" t="s">
        <v>116</v>
      </c>
      <c r="C64" s="1"/>
      <c r="D64" s="1"/>
      <c r="G64" s="64"/>
      <c r="H64" s="64"/>
      <c r="I64" s="64"/>
      <c r="J64" s="64"/>
      <c r="K64" s="64"/>
      <c r="L64" s="65"/>
      <c r="M64" s="65"/>
      <c r="N64" s="65"/>
      <c r="O64" s="65"/>
      <c r="P64" s="65"/>
      <c r="Q64" s="65"/>
      <c r="R64" s="65"/>
      <c r="S64" s="65"/>
      <c r="T64" s="65"/>
      <c r="U64" s="65"/>
      <c r="V64" s="65"/>
      <c r="W64" s="65"/>
      <c r="X64" s="65"/>
      <c r="Y64" s="65"/>
      <c r="Z64" s="65"/>
      <c r="AA64" s="65"/>
      <c r="AB64" s="65"/>
      <c r="AC64" s="65"/>
      <c r="AD64" s="65"/>
      <c r="AE64" s="65"/>
      <c r="AF64" s="65"/>
      <c r="AG64" s="65"/>
      <c r="AH64" s="65"/>
      <c r="AI64" s="65"/>
      <c r="AJ64" s="65"/>
      <c r="AK64" s="65"/>
      <c r="AL64" s="65"/>
      <c r="AM64" s="65"/>
      <c r="AN64" s="65"/>
      <c r="AO64" s="65"/>
      <c r="AP64" s="65"/>
      <c r="AQ64" s="65"/>
      <c r="AR64" s="65"/>
      <c r="AS64" s="65"/>
      <c r="AT64" s="65"/>
      <c r="AU64" s="65"/>
      <c r="AV64" s="65"/>
      <c r="AW64" s="65"/>
      <c r="AX64" s="65"/>
      <c r="AY64" s="65"/>
      <c r="AZ64" s="65"/>
      <c r="BA64" s="65"/>
      <c r="BB64" s="65"/>
      <c r="BC64" s="65"/>
      <c r="BD64" s="65"/>
      <c r="BE64" s="65"/>
      <c r="BF64" s="65"/>
      <c r="BG64" s="65"/>
      <c r="BH64" s="65"/>
      <c r="BI64" s="65"/>
      <c r="BJ64" s="65"/>
      <c r="BK64" s="65"/>
      <c r="BL64" s="65"/>
      <c r="BM64" s="65"/>
      <c r="BN64" s="65"/>
      <c r="BO64" s="65"/>
      <c r="BP64" s="65"/>
      <c r="BQ64" s="65"/>
      <c r="BR64" s="65"/>
      <c r="BS64" s="65"/>
      <c r="BT64" s="65"/>
      <c r="BU64" s="65"/>
      <c r="BV64" s="65"/>
    </row>
    <row r="65" spans="1:76" s="60" customFormat="1" x14ac:dyDescent="0.35">
      <c r="B65" s="102" t="s">
        <v>84</v>
      </c>
      <c r="C65" s="102" t="s">
        <v>85</v>
      </c>
      <c r="G65" s="64"/>
      <c r="H65" s="115"/>
      <c r="I65" s="64"/>
      <c r="J65" s="64"/>
      <c r="K65" s="64"/>
      <c r="L65" s="65"/>
      <c r="M65" s="65"/>
      <c r="N65" s="65"/>
      <c r="O65" s="65"/>
      <c r="P65" s="65"/>
      <c r="Q65" s="65"/>
      <c r="R65" s="65"/>
      <c r="S65" s="65"/>
      <c r="T65" s="65"/>
      <c r="U65" s="65"/>
      <c r="V65" s="65"/>
      <c r="W65" s="65"/>
      <c r="X65" s="65"/>
      <c r="Y65" s="65"/>
      <c r="Z65" s="65"/>
      <c r="AA65" s="65"/>
      <c r="AB65" s="65"/>
      <c r="AC65" s="65"/>
      <c r="AD65" s="65"/>
      <c r="AE65" s="65"/>
      <c r="AF65" s="65"/>
      <c r="AG65" s="65"/>
      <c r="AH65" s="65"/>
      <c r="AI65" s="65"/>
      <c r="AJ65" s="65"/>
      <c r="AK65" s="65"/>
      <c r="AL65" s="65"/>
      <c r="AM65" s="65"/>
      <c r="AN65" s="65"/>
      <c r="AO65" s="65"/>
      <c r="AP65" s="65"/>
      <c r="AQ65" s="65"/>
      <c r="AR65" s="65"/>
      <c r="AS65" s="65"/>
      <c r="AT65" s="65"/>
      <c r="AU65" s="65"/>
      <c r="AV65" s="65"/>
      <c r="AW65" s="65"/>
      <c r="AX65" s="65"/>
      <c r="AY65" s="65"/>
      <c r="AZ65" s="65"/>
      <c r="BA65" s="65"/>
      <c r="BB65" s="65"/>
      <c r="BC65" s="65"/>
      <c r="BD65" s="65"/>
      <c r="BE65" s="65"/>
      <c r="BF65" s="65"/>
      <c r="BG65" s="65"/>
      <c r="BH65" s="65"/>
      <c r="BI65" s="65"/>
      <c r="BJ65" s="65"/>
      <c r="BK65" s="65"/>
      <c r="BL65" s="65"/>
      <c r="BM65" s="65"/>
      <c r="BN65" s="65"/>
      <c r="BO65" s="65"/>
      <c r="BP65" s="65"/>
      <c r="BQ65" s="65"/>
      <c r="BR65" s="65"/>
      <c r="BS65" s="65"/>
      <c r="BT65" s="65"/>
      <c r="BU65" s="65"/>
      <c r="BV65" s="65"/>
    </row>
    <row r="66" spans="1:76" s="60" customFormat="1" x14ac:dyDescent="0.35">
      <c r="B66" s="112" t="s">
        <v>63</v>
      </c>
      <c r="C66" s="131" t="e">
        <f>IF(SUM(I$18:I$21)&gt;0,"[Error]",IF(H19="Estimate based on lanes added",H36-H41,H36*H20))</f>
        <v>#N/A</v>
      </c>
      <c r="G66" s="64"/>
      <c r="H66" s="163" t="e">
        <f>C66</f>
        <v>#N/A</v>
      </c>
      <c r="I66" s="64"/>
      <c r="J66" s="64"/>
      <c r="K66" s="64"/>
      <c r="L66" s="64"/>
      <c r="M66" s="65"/>
      <c r="N66" s="65"/>
      <c r="O66" s="65"/>
      <c r="P66" s="65"/>
      <c r="Q66" s="65"/>
      <c r="R66" s="65"/>
      <c r="S66" s="65"/>
      <c r="T66" s="65"/>
      <c r="U66" s="65"/>
      <c r="V66" s="65"/>
      <c r="W66" s="65"/>
      <c r="X66" s="65"/>
      <c r="Y66" s="65"/>
      <c r="Z66" s="65"/>
      <c r="AA66" s="65"/>
      <c r="AB66" s="65"/>
      <c r="AC66" s="65"/>
      <c r="AD66" s="65"/>
      <c r="AE66" s="65"/>
      <c r="AF66" s="65"/>
      <c r="AG66" s="65"/>
      <c r="AH66" s="65"/>
      <c r="AI66" s="65"/>
      <c r="AJ66" s="65"/>
      <c r="AK66" s="65"/>
      <c r="AL66" s="65"/>
      <c r="AM66" s="65"/>
      <c r="AN66" s="65"/>
      <c r="AO66" s="65"/>
      <c r="AP66" s="65"/>
      <c r="AQ66" s="65"/>
      <c r="AR66" s="65"/>
      <c r="AS66" s="65"/>
      <c r="AT66" s="65"/>
      <c r="AU66" s="65"/>
      <c r="AV66" s="65"/>
      <c r="AW66" s="65"/>
      <c r="AX66" s="65"/>
      <c r="AY66" s="65"/>
      <c r="AZ66" s="65"/>
      <c r="BA66" s="65"/>
      <c r="BB66" s="65"/>
      <c r="BC66" s="65"/>
      <c r="BD66" s="65"/>
      <c r="BE66" s="65"/>
      <c r="BF66" s="65"/>
      <c r="BG66" s="65"/>
      <c r="BH66" s="65"/>
      <c r="BI66" s="65"/>
      <c r="BJ66" s="65"/>
      <c r="BK66" s="65"/>
      <c r="BL66" s="65"/>
      <c r="BM66" s="65"/>
      <c r="BN66" s="65"/>
      <c r="BO66" s="65"/>
      <c r="BP66" s="65"/>
      <c r="BQ66" s="65"/>
      <c r="BR66" s="65"/>
      <c r="BS66" s="65"/>
      <c r="BT66" s="65"/>
      <c r="BU66" s="65"/>
      <c r="BV66" s="65"/>
    </row>
    <row r="67" spans="1:76" x14ac:dyDescent="0.35">
      <c r="A67" s="60"/>
      <c r="B67" s="111" t="s">
        <v>65</v>
      </c>
      <c r="C67" s="131" t="e">
        <f>IF(SUM(I$18:I$21)&gt;0,"[Error]",(H$66*H47)/1000)</f>
        <v>#N/A</v>
      </c>
      <c r="D67" s="305"/>
      <c r="E67" s="60"/>
      <c r="F67" s="60"/>
      <c r="G67" s="64"/>
      <c r="H67" s="163" t="e">
        <f>C67</f>
        <v>#N/A</v>
      </c>
      <c r="I67" s="64"/>
      <c r="BW67" s="1"/>
    </row>
    <row r="68" spans="1:76" x14ac:dyDescent="0.35">
      <c r="A68" s="60"/>
      <c r="B68" s="111" t="s">
        <v>66</v>
      </c>
      <c r="C68" s="131" t="e">
        <f>IF(SUM(I$18:I$21)&gt;0,"[Error]",(H$66*H48)/1000)</f>
        <v>#N/A</v>
      </c>
      <c r="D68" s="196"/>
      <c r="E68" s="60"/>
      <c r="F68" s="60"/>
      <c r="G68" s="64"/>
      <c r="H68" s="163" t="e">
        <f t="shared" ref="H68:H71" si="9">C68</f>
        <v>#N/A</v>
      </c>
      <c r="I68" s="64"/>
      <c r="BW68" s="1"/>
    </row>
    <row r="69" spans="1:76" x14ac:dyDescent="0.35">
      <c r="A69" s="60"/>
      <c r="B69" s="111" t="s">
        <v>67</v>
      </c>
      <c r="C69" s="131" t="e">
        <f>IF(SUM(I$18:I$21)&gt;0,"[Error]",(H$66*H49)/1000)</f>
        <v>#N/A</v>
      </c>
      <c r="D69" s="196"/>
      <c r="E69" s="60"/>
      <c r="G69" s="64"/>
      <c r="H69" s="163" t="e">
        <f t="shared" si="9"/>
        <v>#N/A</v>
      </c>
      <c r="I69" s="64"/>
      <c r="BX69" s="64"/>
    </row>
    <row r="70" spans="1:76" s="64" customFormat="1" x14ac:dyDescent="0.35">
      <c r="A70" s="1"/>
      <c r="B70" s="111" t="s">
        <v>68</v>
      </c>
      <c r="C70" s="131" t="e">
        <f>IF(SUM(I$18:I$21)&gt;0,"[Error]",(H$66*H50)/1000)</f>
        <v>#N/A</v>
      </c>
      <c r="D70" s="196"/>
      <c r="E70" s="60"/>
      <c r="F70" s="1"/>
      <c r="H70" s="163" t="e">
        <f t="shared" si="9"/>
        <v>#N/A</v>
      </c>
      <c r="BX70" s="1"/>
    </row>
    <row r="71" spans="1:76" s="64" customFormat="1" x14ac:dyDescent="0.35">
      <c r="A71" s="1"/>
      <c r="B71" s="111" t="s">
        <v>69</v>
      </c>
      <c r="C71" s="131" t="e">
        <f>IF(SUM(I$18:I$21)&gt;0,"[Error]",(H$66*H51)/1000)</f>
        <v>#N/A</v>
      </c>
      <c r="D71" s="196"/>
      <c r="E71" s="1"/>
      <c r="F71" s="1"/>
      <c r="H71" s="163" t="e">
        <f t="shared" si="9"/>
        <v>#N/A</v>
      </c>
    </row>
    <row r="72" spans="1:76" s="64" customFormat="1" x14ac:dyDescent="0.35">
      <c r="A72" s="1"/>
      <c r="B72" s="1"/>
      <c r="C72" s="1"/>
      <c r="D72" s="1"/>
      <c r="E72" s="1"/>
      <c r="F72" s="1"/>
    </row>
    <row r="73" spans="1:76" s="64" customFormat="1" x14ac:dyDescent="0.35"/>
    <row r="74" spans="1:76" s="64" customFormat="1" x14ac:dyDescent="0.35"/>
    <row r="75" spans="1:76" s="64" customFormat="1" x14ac:dyDescent="0.35"/>
    <row r="76" spans="1:76" s="64" customFormat="1" x14ac:dyDescent="0.35"/>
    <row r="77" spans="1:76" s="64" customFormat="1" x14ac:dyDescent="0.35"/>
    <row r="78" spans="1:76" s="64" customFormat="1" x14ac:dyDescent="0.35"/>
    <row r="79" spans="1:76" s="64" customFormat="1" x14ac:dyDescent="0.35"/>
    <row r="80" spans="1:76" s="64" customFormat="1" x14ac:dyDescent="0.35"/>
    <row r="81" s="64" customFormat="1" x14ac:dyDescent="0.35"/>
    <row r="82" s="64" customFormat="1" x14ac:dyDescent="0.35"/>
    <row r="83" s="64" customFormat="1" x14ac:dyDescent="0.35"/>
    <row r="84" s="64" customFormat="1" x14ac:dyDescent="0.35"/>
    <row r="85" s="64" customFormat="1" x14ac:dyDescent="0.35"/>
    <row r="86" s="64" customFormat="1" x14ac:dyDescent="0.35"/>
    <row r="87" s="64" customFormat="1" x14ac:dyDescent="0.35"/>
    <row r="88" s="64" customFormat="1" x14ac:dyDescent="0.35"/>
    <row r="89" s="64" customFormat="1" x14ac:dyDescent="0.35"/>
    <row r="90" s="64" customFormat="1" x14ac:dyDescent="0.35"/>
    <row r="91" s="64" customFormat="1" x14ac:dyDescent="0.35"/>
    <row r="92" s="64" customFormat="1" x14ac:dyDescent="0.35"/>
    <row r="93" s="64" customFormat="1" x14ac:dyDescent="0.35"/>
    <row r="94" s="64" customFormat="1" x14ac:dyDescent="0.35"/>
    <row r="95" s="64" customFormat="1" x14ac:dyDescent="0.35"/>
    <row r="96" s="64" customFormat="1" x14ac:dyDescent="0.35"/>
    <row r="97" s="64" customFormat="1" x14ac:dyDescent="0.35"/>
    <row r="98" s="64" customFormat="1" x14ac:dyDescent="0.35"/>
    <row r="99" s="64" customFormat="1" x14ac:dyDescent="0.35"/>
    <row r="100" s="64" customFormat="1" x14ac:dyDescent="0.35"/>
    <row r="101" s="64" customFormat="1" x14ac:dyDescent="0.35"/>
    <row r="102" s="64" customFormat="1" x14ac:dyDescent="0.35"/>
    <row r="103" s="64" customFormat="1" x14ac:dyDescent="0.35"/>
    <row r="104" s="64" customFormat="1" x14ac:dyDescent="0.35"/>
    <row r="105" s="64" customFormat="1" x14ac:dyDescent="0.35"/>
    <row r="106" s="64" customFormat="1" x14ac:dyDescent="0.35"/>
    <row r="107" s="64" customFormat="1" x14ac:dyDescent="0.35"/>
    <row r="108" s="64" customFormat="1" x14ac:dyDescent="0.35"/>
    <row r="109" s="64" customFormat="1" x14ac:dyDescent="0.35"/>
    <row r="110" s="64" customFormat="1" x14ac:dyDescent="0.35"/>
    <row r="111" s="64" customFormat="1" x14ac:dyDescent="0.35"/>
    <row r="112" s="64" customFormat="1" x14ac:dyDescent="0.35"/>
    <row r="113" s="64" customFormat="1" x14ac:dyDescent="0.35"/>
    <row r="114" s="64" customFormat="1" x14ac:dyDescent="0.35"/>
    <row r="115" s="64" customFormat="1" x14ac:dyDescent="0.35"/>
    <row r="116" s="64" customFormat="1" x14ac:dyDescent="0.35"/>
    <row r="117" s="64" customFormat="1" x14ac:dyDescent="0.35"/>
    <row r="118" s="64" customFormat="1" x14ac:dyDescent="0.35"/>
    <row r="119" s="64" customFormat="1" x14ac:dyDescent="0.35"/>
    <row r="120" s="64" customFormat="1" x14ac:dyDescent="0.35"/>
    <row r="121" s="64" customFormat="1" x14ac:dyDescent="0.35"/>
    <row r="122" s="64" customFormat="1" x14ac:dyDescent="0.35"/>
    <row r="123" s="64" customFormat="1" x14ac:dyDescent="0.35"/>
    <row r="124" s="64" customFormat="1" x14ac:dyDescent="0.35"/>
    <row r="125" s="64" customFormat="1" x14ac:dyDescent="0.35"/>
    <row r="126" s="64" customFormat="1" x14ac:dyDescent="0.35"/>
    <row r="127" s="64" customFormat="1" x14ac:dyDescent="0.35"/>
    <row r="128" s="64" customFormat="1" x14ac:dyDescent="0.35"/>
    <row r="129" s="64" customFormat="1" x14ac:dyDescent="0.35"/>
    <row r="130" s="64" customFormat="1" x14ac:dyDescent="0.35"/>
    <row r="131" s="64" customFormat="1" x14ac:dyDescent="0.35"/>
    <row r="132" s="64" customFormat="1" x14ac:dyDescent="0.35"/>
    <row r="133" s="64" customFormat="1" x14ac:dyDescent="0.35"/>
    <row r="134" s="64" customFormat="1" x14ac:dyDescent="0.35"/>
    <row r="135" s="64" customFormat="1" x14ac:dyDescent="0.35"/>
    <row r="136" s="64" customFormat="1" x14ac:dyDescent="0.35"/>
    <row r="137" s="64" customFormat="1" x14ac:dyDescent="0.35"/>
    <row r="138" s="64" customFormat="1" x14ac:dyDescent="0.35"/>
    <row r="139" s="64" customFormat="1" x14ac:dyDescent="0.35"/>
    <row r="140" s="64" customFormat="1" x14ac:dyDescent="0.35"/>
    <row r="141" s="64" customFormat="1" x14ac:dyDescent="0.35"/>
    <row r="142" s="64" customFormat="1" x14ac:dyDescent="0.35"/>
    <row r="143" s="64" customFormat="1" x14ac:dyDescent="0.35"/>
    <row r="144" s="64" customFormat="1" x14ac:dyDescent="0.35"/>
    <row r="145" s="64" customFormat="1" x14ac:dyDescent="0.35"/>
    <row r="146" s="64" customFormat="1" x14ac:dyDescent="0.35"/>
    <row r="147" s="64" customFormat="1" x14ac:dyDescent="0.35"/>
    <row r="148" s="64" customFormat="1" x14ac:dyDescent="0.35"/>
    <row r="149" s="64" customFormat="1" x14ac:dyDescent="0.35"/>
    <row r="150" s="64" customFormat="1" x14ac:dyDescent="0.35"/>
    <row r="151" s="64" customFormat="1" x14ac:dyDescent="0.35"/>
    <row r="152" s="64" customFormat="1" x14ac:dyDescent="0.35"/>
    <row r="153" s="64" customFormat="1" x14ac:dyDescent="0.35"/>
    <row r="154" s="64" customFormat="1" x14ac:dyDescent="0.35"/>
    <row r="155" s="64" customFormat="1" x14ac:dyDescent="0.35"/>
    <row r="156" s="64" customFormat="1" x14ac:dyDescent="0.35"/>
    <row r="157" s="64" customFormat="1" x14ac:dyDescent="0.35"/>
    <row r="158" s="64" customFormat="1" x14ac:dyDescent="0.35"/>
    <row r="159" s="64" customFormat="1" x14ac:dyDescent="0.35"/>
    <row r="160" s="64" customFormat="1" x14ac:dyDescent="0.35"/>
    <row r="161" spans="1:75" s="64" customFormat="1" x14ac:dyDescent="0.35"/>
    <row r="162" spans="1:75" s="64" customFormat="1" x14ac:dyDescent="0.35"/>
    <row r="163" spans="1:75" s="64" customFormat="1" x14ac:dyDescent="0.35"/>
    <row r="164" spans="1:75" s="64" customFormat="1" x14ac:dyDescent="0.35"/>
    <row r="165" spans="1:75" s="64" customFormat="1" x14ac:dyDescent="0.35"/>
    <row r="166" spans="1:75" s="64" customFormat="1" x14ac:dyDescent="0.35">
      <c r="A166" s="13"/>
      <c r="B166" s="13"/>
      <c r="C166" s="13"/>
      <c r="D166" s="13"/>
      <c r="E166" s="13"/>
      <c r="F166" s="13"/>
      <c r="G166" s="13"/>
      <c r="I166" s="13"/>
    </row>
    <row r="167" spans="1:75" s="64" customFormat="1" x14ac:dyDescent="0.35">
      <c r="A167" s="1"/>
      <c r="B167" s="1"/>
      <c r="C167" s="1"/>
      <c r="D167" s="1"/>
      <c r="E167" s="1"/>
      <c r="F167" s="1"/>
      <c r="G167" s="1"/>
      <c r="I167" s="13"/>
    </row>
    <row r="168" spans="1:75" s="13" customFormat="1" x14ac:dyDescent="0.35">
      <c r="A168" s="1"/>
      <c r="B168" s="1"/>
      <c r="C168" s="1"/>
      <c r="D168" s="1"/>
      <c r="E168" s="1"/>
      <c r="F168" s="1"/>
      <c r="G168" s="1"/>
      <c r="H168" s="64"/>
      <c r="J168" s="64"/>
      <c r="K168" s="64"/>
      <c r="L168" s="64"/>
      <c r="M168" s="64"/>
      <c r="N168" s="64"/>
      <c r="O168" s="64"/>
      <c r="P168" s="64"/>
      <c r="Q168" s="64"/>
      <c r="R168" s="64"/>
      <c r="S168" s="64"/>
      <c r="T168" s="64"/>
      <c r="U168" s="64"/>
      <c r="V168" s="64"/>
      <c r="W168" s="64"/>
      <c r="X168" s="64"/>
      <c r="Y168" s="64"/>
      <c r="Z168" s="64"/>
      <c r="AA168" s="64"/>
      <c r="AB168" s="64"/>
      <c r="AC168" s="64"/>
      <c r="AD168" s="64"/>
      <c r="AE168" s="64"/>
      <c r="AF168" s="64"/>
      <c r="AG168" s="64"/>
      <c r="AH168" s="64"/>
      <c r="AI168" s="64"/>
      <c r="AJ168" s="64"/>
      <c r="AK168" s="64"/>
      <c r="AL168" s="64"/>
      <c r="AM168" s="64"/>
      <c r="AN168" s="64"/>
      <c r="AO168" s="64"/>
      <c r="AP168" s="64"/>
      <c r="AQ168" s="64"/>
      <c r="AR168" s="64"/>
      <c r="AS168" s="64"/>
      <c r="AT168" s="64"/>
      <c r="AU168" s="64"/>
      <c r="AV168" s="64"/>
      <c r="AW168" s="64"/>
      <c r="AX168" s="64"/>
      <c r="AY168" s="64"/>
      <c r="AZ168" s="64"/>
      <c r="BA168" s="64"/>
      <c r="BB168" s="64"/>
      <c r="BC168" s="64"/>
      <c r="BD168" s="64"/>
      <c r="BE168" s="64"/>
      <c r="BF168" s="64"/>
      <c r="BG168" s="64"/>
      <c r="BH168" s="64"/>
      <c r="BI168" s="64"/>
      <c r="BJ168" s="64"/>
      <c r="BK168" s="64"/>
      <c r="BL168" s="64"/>
      <c r="BM168" s="64"/>
      <c r="BN168" s="64"/>
      <c r="BO168" s="64"/>
      <c r="BP168" s="64"/>
      <c r="BQ168" s="64"/>
      <c r="BR168" s="64"/>
      <c r="BS168" s="64"/>
      <c r="BT168" s="64"/>
      <c r="BU168" s="64"/>
      <c r="BV168" s="64"/>
      <c r="BW168" s="64"/>
    </row>
  </sheetData>
  <sheetProtection algorithmName="SHA-512" hashValue="Me/FAUNah9SHVkgZ0igqo20zOeg5KeT8JIdp+nHqKpN5McSOzd4VcdTt71YY4mEgBJhtI/uwhuni4XrcLOztOA==" saltValue="v/bB1FUL2D2JBM9ow6/Hjw==" spinCount="100000" sheet="1" objects="1" scenarios="1"/>
  <protectedRanges>
    <protectedRange sqref="D18 C21:D21 C13:C19" name="Range1"/>
    <protectedRange sqref="C20:D20" name="Range1_1"/>
  </protectedRanges>
  <mergeCells count="6">
    <mergeCell ref="B8:E8"/>
    <mergeCell ref="C3:E3"/>
    <mergeCell ref="B4:E4"/>
    <mergeCell ref="B5:E5"/>
    <mergeCell ref="B6:E6"/>
    <mergeCell ref="B7:E7"/>
  </mergeCells>
  <conditionalFormatting sqref="B21:E21">
    <cfRule type="expression" dxfId="3" priority="2">
      <formula>$H$19="Reduction percentage"</formula>
    </cfRule>
  </conditionalFormatting>
  <conditionalFormatting sqref="B20:E20">
    <cfRule type="expression" dxfId="2" priority="1">
      <formula>$H$19="Estimate based on lanes added"</formula>
    </cfRule>
  </conditionalFormatting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700-000001000000}">
          <x14:formula1>
            <xm:f>Assumptions!$B$68:$B$79</xm:f>
          </x14:formula1>
          <xm:sqref>C14</xm:sqref>
        </x14:dataValidation>
        <x14:dataValidation type="list" allowBlank="1" showInputMessage="1" showErrorMessage="1" xr:uid="{00000000-0002-0000-0700-000002000000}">
          <x14:formula1>
            <xm:f>Assumptions!$T$3:$T$25</xm:f>
          </x14:formula1>
          <xm:sqref>C13</xm:sqref>
        </x14:dataValidation>
        <x14:dataValidation type="list" allowBlank="1" showInputMessage="1" showErrorMessage="1" xr:uid="{00000000-0002-0000-0700-000000000000}">
          <x14:formula1>
            <xm:f>Assumptions!$U$3:$U$4</xm:f>
          </x14:formula1>
          <xm:sqref>D18 D20:D21</xm:sqref>
        </x14:dataValidation>
        <x14:dataValidation type="list" allowBlank="1" showInputMessage="1" showErrorMessage="1" xr:uid="{A19F0A09-DB6B-4A87-A785-DE2D9761336A}">
          <x14:formula1>
            <xm:f>Assumptions!$AF$3:$AF$4</xm:f>
          </x14:formula1>
          <xm:sqref>C19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2211C5EA28D734E85264D68BD804726" ma:contentTypeVersion="12" ma:contentTypeDescription="Create a new document." ma:contentTypeScope="" ma:versionID="695b6eb1e90933b58c0ff91d4d15ac38">
  <xsd:schema xmlns:xsd="http://www.w3.org/2001/XMLSchema" xmlns:xs="http://www.w3.org/2001/XMLSchema" xmlns:p="http://schemas.microsoft.com/office/2006/metadata/properties" xmlns:ns2="7b9e3106-d514-4534-b3bb-930302907a2d" xmlns:ns3="6449012a-99a4-4c27-a220-7865e083beed" targetNamespace="http://schemas.microsoft.com/office/2006/metadata/properties" ma:root="true" ma:fieldsID="8f193c28e9286a790fc4a7b88e53ed94" ns2:_="" ns3:_="">
    <xsd:import namespace="7b9e3106-d514-4534-b3bb-930302907a2d"/>
    <xsd:import namespace="6449012a-99a4-4c27-a220-7865e083bee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9e3106-d514-4534-b3bb-930302907a2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6856f2ee-118d-42e8-91de-064c9a66b68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49012a-99a4-4c27-a220-7865e083beed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cf151ba7-aa56-40be-9c49-e1b5e5e1eb6e}" ma:internalName="TaxCatchAll" ma:showField="CatchAllData" ma:web="6449012a-99a4-4c27-a220-7865e083bee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b9e3106-d514-4534-b3bb-930302907a2d">
      <Terms xmlns="http://schemas.microsoft.com/office/infopath/2007/PartnerControls"/>
    </lcf76f155ced4ddcb4097134ff3c332f>
    <TaxCatchAll xmlns="6449012a-99a4-4c27-a220-7865e083beed" xsi:nil="true"/>
    <SharedWithUsers xmlns="6449012a-99a4-4c27-a220-7865e083beed">
      <UserInfo>
        <DisplayName>Ang-Olson, Jeffrey</DisplayName>
        <AccountId>14</AccountId>
        <AccountType/>
      </UserInfo>
      <UserInfo>
        <DisplayName>Kong, Stephanie</DisplayName>
        <AccountId>22</AccountId>
        <AccountType/>
      </UserInfo>
      <UserInfo>
        <DisplayName>Crowley, Duncan</DisplayName>
        <AccountId>23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97F4CF28-3ABE-42E5-BA6F-A98813E9B3C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6C00253-F108-44C3-98F2-BA25242068D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b9e3106-d514-4534-b3bb-930302907a2d"/>
    <ds:schemaRef ds:uri="6449012a-99a4-4c27-a220-7865e083bee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83F660F-14C4-4905-A911-2E9316A69CBE}">
  <ds:schemaRefs>
    <ds:schemaRef ds:uri="http://schemas.microsoft.com/office/2006/metadata/properties"/>
    <ds:schemaRef ds:uri="http://schemas.microsoft.com/office/infopath/2007/PartnerControls"/>
    <ds:schemaRef ds:uri="7b9e3106-d514-4534-b3bb-930302907a2d"/>
    <ds:schemaRef ds:uri="6449012a-99a4-4c27-a220-7865e083beed"/>
  </ds:schemaRefs>
</ds:datastoreItem>
</file>

<file path=docMetadata/LabelInfo.xml><?xml version="1.0" encoding="utf-8"?>
<clbl:labelList xmlns:clbl="http://schemas.microsoft.com/office/2020/mipLabelMetadata">
  <clbl:label id="{cf90b97b-be46-4a00-9700-81ce4ff1b7f6}" enabled="0" method="" siteId="{cf90b97b-be46-4a00-9700-81ce4ff1b7f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19</vt:i4>
      </vt:variant>
    </vt:vector>
  </HeadingPairs>
  <TitlesOfParts>
    <vt:vector size="19" baseType="lpstr">
      <vt:lpstr>Overview</vt:lpstr>
      <vt:lpstr>Results Summary</vt:lpstr>
      <vt:lpstr>Transit Service</vt:lpstr>
      <vt:lpstr>Transit Station Amenities</vt:lpstr>
      <vt:lpstr>Ferry Service</vt:lpstr>
      <vt:lpstr>BAT Lanes</vt:lpstr>
      <vt:lpstr>Bike Facilities</vt:lpstr>
      <vt:lpstr>Ped Facilities</vt:lpstr>
      <vt:lpstr>Reduce Intersection Delay</vt:lpstr>
      <vt:lpstr>Increase Corridor Speed</vt:lpstr>
      <vt:lpstr>Outreach Prgms. &amp; Sub. Transit </vt:lpstr>
      <vt:lpstr>Vanpools</vt:lpstr>
      <vt:lpstr>Vehicle Replacement</vt:lpstr>
      <vt:lpstr>MHD ZEVs</vt:lpstr>
      <vt:lpstr>LD ZEVs</vt:lpstr>
      <vt:lpstr>VMT Reduction</vt:lpstr>
      <vt:lpstr>Emission Factors</vt:lpstr>
      <vt:lpstr>Assumptions</vt:lpstr>
      <vt:lpstr>PSRC Assumptions</vt:lpstr>
    </vt:vector>
  </TitlesOfParts>
  <Manager/>
  <Company>Windows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Huttinger, Louise</dc:creator>
  <cp:keywords/>
  <dc:description/>
  <cp:lastModifiedBy>Alexa Leach</cp:lastModifiedBy>
  <cp:revision/>
  <dcterms:created xsi:type="dcterms:W3CDTF">2015-09-21T22:41:16Z</dcterms:created>
  <dcterms:modified xsi:type="dcterms:W3CDTF">2024-03-06T20:36:35Z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0x01010012211C5EA28D734E85264D68BD804726</vt:lpwstr>
  </property>
  <property fmtid="{D5CDD505-2E9C-101B-9397-08002B2CF9AE}" pid="3" name="MediaServiceImageTags">
    <vt:lpwstr/>
  </property>
</Properties>
</file>